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230.0.11\users\HTC402\Redirect\Desktop\【作成中・・・】202509016秋採用更新（一般・担当者）\2025(二次)マイナに代わる書類\"/>
    </mc:Choice>
  </mc:AlternateContent>
  <workbookProtection workbookPassword="9F49" lockStructure="1"/>
  <bookViews>
    <workbookView xWindow="0" yWindow="0" windowWidth="28800" windowHeight="1086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62913"/>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O2"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62" i="3"/>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K2" i="17"/>
  <c r="EJ2" i="17"/>
  <c r="N2" i="17"/>
  <c r="T2" i="17"/>
  <c r="EC2" i="17"/>
  <c r="EO2" i="17"/>
  <c r="L2" i="17"/>
  <c r="DG2" i="17"/>
  <c r="DE2" i="17"/>
  <c r="R2" i="17"/>
  <c r="E2" i="17"/>
  <c r="O2" i="17"/>
  <c r="J2" i="17"/>
  <c r="M2" i="17"/>
  <c r="EE2" i="17"/>
  <c r="EP2" i="17"/>
  <c r="EH2" i="17"/>
  <c r="EF2" i="17"/>
  <c r="AD2" i="17"/>
  <c r="DF2" i="17"/>
  <c r="F2" i="17"/>
  <c r="EI2" i="17"/>
  <c r="EG2" i="17"/>
  <c r="U2" i="17"/>
  <c r="ED2" i="17"/>
  <c r="W2" i="17"/>
  <c r="I2" i="17"/>
  <c r="D19" i="11" l="1"/>
  <c r="C57" i="3"/>
  <c r="O2" i="1" l="1"/>
  <c r="C44" i="3" l="1"/>
  <c r="BY2" i="17"/>
  <c r="C48" i="3" l="1"/>
  <c r="C47" i="3"/>
  <c r="CB2" i="17"/>
  <c r="CC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CE2" i="17"/>
  <c r="BZ2" i="17"/>
  <c r="F8" i="3" l="1"/>
  <c r="D22" i="3"/>
  <c r="B22" i="3"/>
  <c r="F10" i="3"/>
  <c r="B36" i="11"/>
  <c r="C22" i="3"/>
  <c r="F9" i="3"/>
  <c r="B25" i="3"/>
  <c r="C46" i="3"/>
  <c r="BC2" i="17"/>
  <c r="DH2" i="17"/>
  <c r="V2" i="17"/>
  <c r="Y2" i="17"/>
  <c r="CA2" i="17"/>
  <c r="C56" i="3" l="1"/>
  <c r="B2" i="3"/>
  <c r="B61" i="13"/>
  <c r="B66" i="19"/>
  <c r="B62" i="13"/>
  <c r="B20" i="19"/>
  <c r="B65" i="19"/>
  <c r="B19" i="19"/>
  <c r="B19" i="1"/>
  <c r="C2" i="3"/>
  <c r="C49" i="3"/>
  <c r="Q46" i="13"/>
  <c r="D2" i="3"/>
  <c r="B20" i="1"/>
  <c r="L46" i="11"/>
  <c r="B66" i="1"/>
  <c r="B65" i="1"/>
  <c r="C55" i="3"/>
  <c r="CJ2" i="17"/>
  <c r="AI2" i="17"/>
  <c r="B2" i="17"/>
  <c r="CD2" i="17"/>
  <c r="CN2" i="17"/>
  <c r="D3" i="3" l="1"/>
  <c r="D51" i="3" s="1"/>
  <c r="B16" i="13"/>
  <c r="B15" i="13"/>
  <c r="B26" i="3"/>
  <c r="B15" i="11"/>
  <c r="D7" i="3"/>
  <c r="C3" i="3"/>
  <c r="C51" i="3" s="1"/>
  <c r="C58" i="3"/>
  <c r="C7" i="3"/>
  <c r="C5" i="3"/>
  <c r="D5" i="3"/>
  <c r="D6" i="3" s="1"/>
  <c r="B7" i="3"/>
  <c r="B16" i="11"/>
  <c r="B3" i="3"/>
  <c r="B4" i="3" s="1"/>
  <c r="D26" i="3"/>
  <c r="N30" i="1"/>
  <c r="AL2" i="17"/>
  <c r="DL2" i="17"/>
  <c r="CQ2" i="17"/>
  <c r="AJ2" i="17"/>
  <c r="C2" i="17"/>
  <c r="Z2" i="17"/>
  <c r="CS2" i="17"/>
  <c r="CR2" i="17"/>
  <c r="AN2" i="17"/>
  <c r="D2" i="17"/>
  <c r="CK2" i="17"/>
  <c r="G2" i="17"/>
  <c r="CO2" i="17"/>
  <c r="D54" i="3" l="1"/>
  <c r="C6" i="3"/>
  <c r="C54" i="3" s="1"/>
  <c r="N28" i="1"/>
  <c r="AM2" i="17"/>
  <c r="L50" i="1" l="1"/>
  <c r="D42" i="3"/>
  <c r="EB2" i="17"/>
  <c r="AP2" i="17"/>
  <c r="D76" i="1" l="1"/>
  <c r="D76" i="19"/>
  <c r="D9" i="3"/>
  <c r="D41" i="3"/>
  <c r="L42" i="1"/>
  <c r="B17" i="3"/>
  <c r="B16" i="3"/>
  <c r="D38" i="3" s="1"/>
  <c r="G31" i="1"/>
  <c r="G29" i="1"/>
  <c r="Q2" i="17"/>
  <c r="EA2" i="17"/>
  <c r="CU2" i="17"/>
  <c r="P2" i="17"/>
  <c r="D40" i="3" l="1"/>
  <c r="D39" i="3" s="1"/>
  <c r="B24" i="3"/>
  <c r="B8" i="3"/>
  <c r="C36" i="3" s="1"/>
  <c r="C42" i="3"/>
  <c r="M46" i="1"/>
  <c r="M48" i="1"/>
  <c r="D15" i="3"/>
  <c r="D14" i="3"/>
  <c r="C15" i="3"/>
  <c r="C14" i="3"/>
  <c r="AV2" i="17"/>
  <c r="BW2" i="17"/>
  <c r="DA2" i="17"/>
  <c r="H2" i="17"/>
  <c r="X2" i="17"/>
  <c r="AU2" i="17"/>
  <c r="CZ2" i="17"/>
  <c r="C76" i="1" l="1"/>
  <c r="C76" i="19"/>
  <c r="B19" i="3"/>
  <c r="C37" i="3"/>
  <c r="C13" i="3" s="1"/>
  <c r="C35" i="3"/>
  <c r="D13" i="3"/>
  <c r="B34" i="3"/>
  <c r="D24" i="3"/>
  <c r="M44" i="1"/>
  <c r="CY2" i="17"/>
  <c r="DV2" i="17"/>
  <c r="DW2" i="17"/>
  <c r="DU2" i="17"/>
  <c r="AH2" i="17"/>
  <c r="BQ2" i="17"/>
  <c r="BR2" i="17"/>
  <c r="BP2" i="17"/>
  <c r="DJ2" i="17"/>
  <c r="S2" i="17"/>
  <c r="C65" i="3" l="1"/>
  <c r="EV2" i="17" s="1"/>
  <c r="C40" i="3"/>
  <c r="C39" i="3" s="1"/>
  <c r="C38" i="3"/>
  <c r="B31" i="3"/>
  <c r="C73" i="1"/>
  <c r="B27" i="3"/>
  <c r="C24" i="3"/>
  <c r="D12" i="3"/>
  <c r="C12" i="3"/>
  <c r="AA2" i="17"/>
  <c r="AT2" i="17"/>
  <c r="AE2" i="17"/>
  <c r="AS2" i="17"/>
  <c r="CX2" i="17"/>
  <c r="BS2" i="17"/>
  <c r="DX2" i="17"/>
  <c r="DZ2" i="17"/>
  <c r="BE2" i="17"/>
  <c r="BU2" i="17"/>
  <c r="H74" i="1" l="1"/>
  <c r="C64" i="3"/>
  <c r="B28" i="3"/>
  <c r="B29" i="3" s="1"/>
  <c r="C41" i="3"/>
  <c r="AC2" i="17"/>
  <c r="BV2" i="17"/>
  <c r="AB2" i="17"/>
  <c r="DY2" i="17"/>
  <c r="BT2" i="17"/>
  <c r="H73" i="1" l="1"/>
  <c r="EU2" i="17"/>
  <c r="B32" i="3"/>
  <c r="AF2" i="17"/>
  <c r="B33" i="3" l="1"/>
  <c r="BA2" i="17"/>
  <c r="AG2" i="17"/>
  <c r="C59" i="3" l="1"/>
  <c r="CL2" i="17"/>
  <c r="C52" i="3" l="1"/>
  <c r="D53" i="3" s="1"/>
  <c r="D4" i="3" s="1"/>
  <c r="CI2" i="17"/>
  <c r="ER2" i="17"/>
  <c r="EK2" i="17"/>
  <c r="CG2" i="17"/>
  <c r="CF2" i="17"/>
  <c r="EQ2" i="17"/>
  <c r="CM2" i="17"/>
  <c r="CP2" i="17"/>
  <c r="EM2" i="17"/>
  <c r="D8" i="3" l="1"/>
  <c r="CT2" i="17"/>
  <c r="EN2" i="17"/>
  <c r="D52" i="3" l="1"/>
  <c r="EL2" i="17"/>
  <c r="C53" i="3" l="1"/>
  <c r="CH2" i="17"/>
  <c r="C4" i="3" l="1"/>
  <c r="AK2" i="17"/>
  <c r="C8" i="3" l="1"/>
  <c r="C21" i="3" s="1"/>
  <c r="BB2" i="17"/>
  <c r="AO2" i="17"/>
  <c r="C19" i="3" l="1"/>
  <c r="C66" i="3" s="1"/>
  <c r="C10" i="3"/>
  <c r="D10" i="3"/>
  <c r="CV2" i="17"/>
  <c r="AZ2" i="17"/>
  <c r="AQ2" i="17"/>
  <c r="C26" i="3" l="1"/>
  <c r="K73" i="1"/>
  <c r="EW2" i="17"/>
  <c r="C18" i="3"/>
  <c r="C17" i="3"/>
  <c r="D30" i="3"/>
  <c r="C16" i="3"/>
  <c r="D11" i="3"/>
  <c r="C23" i="3"/>
  <c r="D18" i="3"/>
  <c r="C30" i="3"/>
  <c r="D17" i="3"/>
  <c r="C11" i="3"/>
  <c r="D16" i="3"/>
  <c r="D23" i="3"/>
  <c r="DP2" i="17"/>
  <c r="AX2" i="17"/>
  <c r="DC2" i="17"/>
  <c r="AY2" i="17"/>
  <c r="AR2" i="17"/>
  <c r="DI2" i="17"/>
  <c r="AW2" i="17"/>
  <c r="DB2" i="17"/>
  <c r="BK2" i="17"/>
  <c r="DD2" i="17"/>
  <c r="BD2" i="17"/>
  <c r="CW2" i="17"/>
  <c r="BG2" i="17"/>
  <c r="D25" i="3" l="1"/>
  <c r="C27" i="3"/>
  <c r="C25" i="3"/>
  <c r="C31" i="3"/>
  <c r="D31" i="3"/>
  <c r="D27" i="3"/>
  <c r="BF2" i="17"/>
  <c r="DM2" i="17"/>
  <c r="BL2" i="17"/>
  <c r="DK2" i="17"/>
  <c r="BH2" i="17"/>
  <c r="DQ2" i="17"/>
  <c r="D28" i="3" l="1"/>
  <c r="C28" i="3"/>
  <c r="DN2" i="17"/>
  <c r="BI2" i="17"/>
  <c r="C29" i="3" l="1"/>
  <c r="C32" i="3"/>
  <c r="D32" i="3"/>
  <c r="D29" i="3"/>
  <c r="BJ2" i="17"/>
  <c r="DR2" i="17"/>
  <c r="BM2" i="17"/>
  <c r="DO2" i="17"/>
  <c r="C33" i="3" l="1"/>
  <c r="C34" i="3" s="1"/>
  <c r="C61" i="3"/>
  <c r="D33" i="3"/>
  <c r="D34" i="3" s="1"/>
  <c r="BO2" i="17"/>
  <c r="DT2" i="17"/>
  <c r="BN2" i="17"/>
  <c r="DS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<sst xmlns="http://schemas.openxmlformats.org/spreadsheetml/2006/main" count="2219" uniqueCount="1124">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</sst>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numFmt numFmtId="177" formatCode="#,##0;[Red]#,##0"/>
    <numFmt numFmtId="178" formatCode="#,##0.00;[Red]#,##0.00"/>
    <numFmt numFmtId="179" formatCode="yyyy&quot;.&quot;mm"/>
    <numFmt numFmtId="180" formatCode="#,##0_ "/>
  </numFmts>
  <fonts count="4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614">
    <xf numFmtId="0" fontId="0" fillId="0" borderId="0" xfId="0"/>
    <xf numFmtId="0" fontId="3" fillId="0" borderId="0" xfId="0" applyFont="1" applyProtection="1"/>
    <xf numFmtId="0" fontId="3" fillId="0" borderId="0" xfId="0" applyNumberFormat="1" applyFont="1" applyProtection="1"/>
    <xf numFmtId="0" fontId="3" fillId="0" borderId="0" xfId="0" applyFont="1"/>
    <xf numFmtId="0" fontId="3" fillId="0" borderId="0" xfId="0" applyFont="1" applyAlignment="1" applyProtection="1">
      <alignment horizontal="left"/>
    </xf>
    <xf numFmtId="0" fontId="5" fillId="0" borderId="0" xfId="0" applyFont="1" applyProtection="1"/>
    <xf numFmtId="0" fontId="5" fillId="0" borderId="0" xfId="0" applyFont="1"/>
    <xf numFmtId="0" fontId="7" fillId="0" borderId="2" xfId="0" applyFont="1" applyBorder="1" applyProtection="1">
      <protection locked="0"/>
    </xf>
    <xf numFmtId="0" fontId="3" fillId="0" borderId="3" xfId="0" applyFont="1" applyBorder="1" applyProtection="1"/>
    <xf numFmtId="0" fontId="0" fillId="0" borderId="3" xfId="0" applyBorder="1" applyProtection="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applyProtection="1"/>
    <xf numFmtId="0" fontId="3" fillId="0" borderId="0" xfId="0" applyNumberFormat="1" applyFont="1" applyBorder="1" applyProtection="1"/>
    <xf numFmtId="0" fontId="3" fillId="0" borderId="0" xfId="0" applyFont="1" applyBorder="1" applyProtection="1"/>
    <xf numFmtId="0" fontId="5" fillId="0" borderId="0" xfId="0" applyFont="1" applyBorder="1" applyAlignment="1" applyProtection="1">
      <alignment horizontal="centerContinuous"/>
    </xf>
    <xf numFmtId="0" fontId="3" fillId="0" borderId="6" xfId="0" applyFont="1" applyBorder="1" applyAlignment="1" applyProtection="1">
      <alignment horizontal="centerContinuous"/>
    </xf>
    <xf numFmtId="0" fontId="3" fillId="0" borderId="6" xfId="0" applyFont="1" applyBorder="1" applyProtection="1"/>
    <xf numFmtId="0" fontId="3" fillId="0" borderId="6" xfId="0" applyNumberFormat="1" applyFont="1" applyBorder="1" applyProtection="1"/>
    <xf numFmtId="0" fontId="3" fillId="0" borderId="0" xfId="0" applyNumberFormat="1" applyFont="1" applyBorder="1" applyAlignment="1" applyProtection="1">
      <alignment horizontal="right"/>
    </xf>
    <xf numFmtId="0"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left"/>
      <protection locked="0"/>
    </xf>
    <xf numFmtId="0" fontId="3" fillId="0" borderId="6" xfId="0" applyNumberFormat="1" applyFont="1" applyFill="1" applyBorder="1" applyAlignment="1" applyProtection="1">
      <alignment horizontal="right"/>
    </xf>
    <xf numFmtId="0" fontId="3" fillId="0" borderId="0" xfId="0" applyFont="1" applyFill="1" applyBorder="1" applyAlignment="1" applyProtection="1">
      <alignment vertical="top"/>
      <protection locked="0"/>
    </xf>
    <xf numFmtId="0" fontId="3" fillId="0" borderId="0" xfId="0" applyNumberFormat="1" applyFont="1" applyFill="1" applyBorder="1" applyAlignment="1" applyProtection="1">
      <alignment horizontal="center"/>
    </xf>
    <xf numFmtId="0" fontId="3" fillId="0" borderId="0" xfId="0" applyNumberFormat="1" applyFont="1" applyFill="1" applyBorder="1" applyProtection="1"/>
    <xf numFmtId="49" fontId="3" fillId="0" borderId="0" xfId="0" applyNumberFormat="1" applyFont="1" applyFill="1" applyBorder="1" applyAlignment="1" applyProtection="1">
      <alignment vertical="top"/>
      <protection locked="0"/>
    </xf>
    <xf numFmtId="0" fontId="3" fillId="0" borderId="6"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0" fontId="3" fillId="0" borderId="6" xfId="0" applyFont="1" applyFill="1" applyBorder="1" applyAlignment="1" applyProtection="1">
      <alignment horizontal="left"/>
    </xf>
    <xf numFmtId="0" fontId="3" fillId="0" borderId="6" xfId="0" applyNumberFormat="1" applyFont="1" applyFill="1" applyBorder="1" applyProtection="1"/>
    <xf numFmtId="0" fontId="5" fillId="0" borderId="0" xfId="0" applyNumberFormat="1" applyFont="1" applyBorder="1" applyProtection="1"/>
    <xf numFmtId="0" fontId="6" fillId="0" borderId="0" xfId="0" applyNumberFormat="1" applyFont="1" applyBorder="1" applyProtection="1"/>
    <xf numFmtId="0" fontId="3" fillId="0" borderId="0" xfId="0" applyNumberFormat="1" applyFont="1" applyBorder="1" applyAlignment="1" applyProtection="1">
      <alignment horizontal="left"/>
    </xf>
    <xf numFmtId="58" fontId="3" fillId="0" borderId="0" xfId="0" applyNumberFormat="1" applyFont="1" applyBorder="1" applyAlignment="1" applyProtection="1">
      <alignment horizontal="center"/>
    </xf>
    <xf numFmtId="58" fontId="3" fillId="0" borderId="0" xfId="0" applyNumberFormat="1" applyFont="1" applyBorder="1" applyAlignment="1" applyProtection="1">
      <alignment horizontal="left"/>
    </xf>
    <xf numFmtId="0" fontId="3" fillId="0" borderId="6" xfId="0" applyFont="1" applyBorder="1" applyAlignment="1" applyProtection="1">
      <alignment horizontal="right"/>
    </xf>
    <xf numFmtId="176" fontId="3" fillId="0" borderId="0" xfId="0" applyNumberFormat="1" applyFont="1" applyBorder="1" applyProtection="1"/>
    <xf numFmtId="0" fontId="3" fillId="0" borderId="0" xfId="0" applyFont="1" applyBorder="1" applyAlignment="1" applyProtection="1">
      <alignment horizontal="center"/>
    </xf>
    <xf numFmtId="0" fontId="3" fillId="0" borderId="7" xfId="0" applyFont="1" applyBorder="1" applyProtection="1"/>
    <xf numFmtId="49" fontId="6" fillId="0" borderId="8" xfId="0" applyNumberFormat="1" applyFont="1" applyBorder="1" applyAlignment="1" applyProtection="1">
      <alignment horizontal="center"/>
    </xf>
    <xf numFmtId="49" fontId="6" fillId="0" borderId="8" xfId="0" applyNumberFormat="1" applyFont="1" applyBorder="1" applyProtection="1"/>
    <xf numFmtId="0" fontId="3" fillId="0" borderId="8" xfId="0" applyNumberFormat="1" applyFont="1" applyBorder="1" applyProtection="1"/>
    <xf numFmtId="0" fontId="3" fillId="0" borderId="8" xfId="0" applyFont="1" applyBorder="1" applyProtection="1">
      <protection locked="0"/>
    </xf>
    <xf numFmtId="0" fontId="3" fillId="0" borderId="8" xfId="0" applyFont="1" applyBorder="1" applyAlignment="1" applyProtection="1">
      <alignment horizontal="center"/>
    </xf>
    <xf numFmtId="0" fontId="3" fillId="0" borderId="8" xfId="0" applyFont="1" applyBorder="1" applyProtection="1"/>
    <xf numFmtId="0" fontId="3" fillId="0" borderId="9" xfId="0" applyNumberFormat="1" applyFont="1" applyBorder="1" applyProtection="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0" fillId="0" borderId="1" xfId="0" applyFill="1" applyBorder="1"/>
    <xf numFmtId="0" fontId="10" fillId="0" borderId="0" xfId="0" applyFont="1"/>
    <xf numFmtId="0" fontId="0" fillId="0" borderId="0" xfId="0" applyFill="1" applyBorder="1"/>
    <xf numFmtId="0" fontId="0" fillId="0" borderId="0" xfId="0" applyBorder="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applyProtection="1"/>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Border="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Fill="1" applyBorder="1"/>
    <xf numFmtId="0" fontId="8" fillId="0" borderId="10" xfId="0" applyFont="1" applyBorder="1" applyAlignment="1">
      <alignment horizontal="center" vertical="center" shrinkToFit="1"/>
    </xf>
    <xf numFmtId="0" fontId="8" fillId="0" borderId="0" xfId="0" applyFont="1"/>
    <xf numFmtId="0" fontId="0" fillId="0" borderId="0" xfId="0" applyFont="1"/>
    <xf numFmtId="0" fontId="14" fillId="0" borderId="0" xfId="0" applyFont="1"/>
    <xf numFmtId="0" fontId="15" fillId="0" borderId="0" xfId="0" applyFont="1"/>
    <xf numFmtId="0" fontId="16" fillId="0" borderId="0" xfId="0" applyFont="1"/>
    <xf numFmtId="0" fontId="0" fillId="2" borderId="0" xfId="0" applyFill="1" applyAlignment="1">
      <alignment vertical="center"/>
    </xf>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0" borderId="11" xfId="0" applyFill="1" applyBorder="1" applyAlignment="1">
      <alignment vertical="center" shrinkToFit="1"/>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Border="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Border="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2" xfId="0" applyFill="1" applyBorder="1" applyAlignment="1">
      <alignment vertical="center"/>
    </xf>
    <xf numFmtId="0" fontId="0" fillId="0" borderId="11" xfId="0" applyFill="1" applyBorder="1" applyAlignment="1">
      <alignment vertical="center"/>
    </xf>
    <xf numFmtId="0" fontId="16" fillId="0" borderId="0" xfId="0" applyFont="1" applyFill="1"/>
    <xf numFmtId="0" fontId="0" fillId="0" borderId="0" xfId="0" applyFill="1"/>
    <xf numFmtId="0" fontId="16" fillId="0" borderId="47" xfId="0" applyFont="1" applyFill="1" applyBorder="1" applyAlignment="1">
      <alignment vertical="center"/>
    </xf>
    <xf numFmtId="0" fontId="16" fillId="0" borderId="48" xfId="0" applyFont="1" applyFill="1" applyBorder="1" applyAlignment="1">
      <alignment vertical="center"/>
    </xf>
    <xf numFmtId="177" fontId="16" fillId="0" borderId="48" xfId="0" applyNumberFormat="1" applyFont="1" applyFill="1" applyBorder="1" applyAlignment="1">
      <alignment horizontal="right" vertical="center"/>
    </xf>
    <xf numFmtId="0" fontId="16" fillId="0" borderId="51" xfId="0" applyFont="1" applyFill="1" applyBorder="1"/>
    <xf numFmtId="0" fontId="16" fillId="0" borderId="48" xfId="0" applyFont="1" applyFill="1" applyBorder="1"/>
    <xf numFmtId="0" fontId="16" fillId="0" borderId="49" xfId="0" applyFont="1" applyFill="1" applyBorder="1"/>
    <xf numFmtId="0" fontId="16" fillId="0" borderId="7" xfId="0" applyFont="1" applyFill="1" applyBorder="1" applyAlignment="1">
      <alignment vertical="center"/>
    </xf>
    <xf numFmtId="0" fontId="16" fillId="0" borderId="8" xfId="0" applyFont="1" applyFill="1" applyBorder="1" applyAlignment="1">
      <alignment vertical="center"/>
    </xf>
    <xf numFmtId="177" fontId="16" fillId="0" borderId="8" xfId="0" applyNumberFormat="1" applyFont="1" applyFill="1" applyBorder="1" applyAlignment="1">
      <alignment horizontal="right" vertical="center"/>
    </xf>
    <xf numFmtId="0" fontId="16" fillId="0" borderId="50" xfId="0" applyFont="1" applyFill="1" applyBorder="1"/>
    <xf numFmtId="0" fontId="16" fillId="0" borderId="8" xfId="0" applyFont="1" applyFill="1" applyBorder="1"/>
    <xf numFmtId="0" fontId="16" fillId="0" borderId="9" xfId="0" applyFont="1" applyFill="1" applyBorder="1"/>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0" fontId="16" fillId="2" borderId="0" xfId="0" applyFont="1" applyFill="1" applyBorder="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Border="1" applyAlignment="1">
      <alignment horizontal="right" vertical="center"/>
    </xf>
    <xf numFmtId="0" fontId="17" fillId="2" borderId="0" xfId="0" applyFont="1" applyFill="1" applyBorder="1" applyAlignment="1">
      <alignment horizontal="right" vertical="center"/>
    </xf>
    <xf numFmtId="0" fontId="17" fillId="2" borderId="0" xfId="0" quotePrefix="1" applyFont="1" applyFill="1" applyBorder="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Border="1"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Fill="1" applyBorder="1" applyAlignment="1">
      <alignment vertical="center"/>
    </xf>
    <xf numFmtId="0" fontId="18" fillId="0" borderId="1" xfId="0" applyFont="1" applyFill="1" applyBorder="1" applyAlignment="1">
      <alignment vertical="center"/>
    </xf>
    <xf numFmtId="0" fontId="17" fillId="0" borderId="1" xfId="0" applyFont="1" applyFill="1" applyBorder="1" applyAlignment="1">
      <alignment vertical="center"/>
    </xf>
    <xf numFmtId="0" fontId="8" fillId="0" borderId="58" xfId="0" applyFont="1" applyFill="1" applyBorder="1" applyAlignment="1">
      <alignment horizontal="center" vertical="center"/>
    </xf>
    <xf numFmtId="0" fontId="16" fillId="0" borderId="0" xfId="0" applyFont="1" applyBorder="1"/>
    <xf numFmtId="0" fontId="23" fillId="0" borderId="55" xfId="0" applyFont="1" applyBorder="1"/>
    <xf numFmtId="0" fontId="10" fillId="0" borderId="0" xfId="0" applyFont="1" applyBorder="1"/>
    <xf numFmtId="0" fontId="0" fillId="0" borderId="0" xfId="0" applyAlignment="1">
      <alignment horizontal="center"/>
    </xf>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Border="1" applyAlignment="1">
      <alignment shrinkToFit="1"/>
    </xf>
    <xf numFmtId="0" fontId="21" fillId="0" borderId="0" xfId="0" applyFont="1" applyBorder="1" applyAlignment="1">
      <alignment vertical="top" wrapText="1"/>
    </xf>
    <xf numFmtId="0" fontId="0" fillId="0" borderId="0" xfId="0" applyAlignment="1">
      <alignment horizontal="center"/>
    </xf>
    <xf numFmtId="0" fontId="0" fillId="3" borderId="1" xfId="0" applyFill="1" applyBorder="1"/>
    <xf numFmtId="0" fontId="24" fillId="0" borderId="0" xfId="0" applyFont="1" applyBorder="1" applyAlignment="1">
      <alignment horizontal="right" vertical="center" wrapText="1"/>
    </xf>
    <xf numFmtId="0" fontId="9" fillId="0" borderId="0" xfId="0" applyFont="1" applyBorder="1" applyAlignment="1">
      <alignment shrinkToFit="1"/>
    </xf>
    <xf numFmtId="0" fontId="9" fillId="0" borderId="0" xfId="0" applyFont="1" applyBorder="1"/>
    <xf numFmtId="0" fontId="0" fillId="0" borderId="0" xfId="0" applyFill="1" applyAlignment="1">
      <alignment horizontal="right"/>
    </xf>
    <xf numFmtId="0" fontId="0" fillId="0" borderId="0" xfId="0" applyFill="1" applyAlignment="1">
      <alignment horizontal="center"/>
    </xf>
    <xf numFmtId="0" fontId="0" fillId="0" borderId="12" xfId="0" applyFill="1" applyBorder="1" applyAlignment="1">
      <alignment horizontal="center"/>
    </xf>
    <xf numFmtId="0" fontId="8" fillId="0" borderId="12" xfId="0" applyFont="1" applyFill="1" applyBorder="1" applyAlignment="1">
      <alignment horizontal="center" vertical="center" shrinkToFit="1"/>
    </xf>
    <xf numFmtId="0" fontId="0" fillId="0" borderId="0" xfId="0" applyFont="1" applyFill="1" applyBorder="1" applyAlignment="1">
      <alignment horizontal="left"/>
    </xf>
    <xf numFmtId="14" fontId="0" fillId="0" borderId="10" xfId="0" applyNumberFormat="1" applyFill="1" applyBorder="1" applyAlignment="1">
      <alignment horizontal="center" vertical="center"/>
    </xf>
    <xf numFmtId="0" fontId="9" fillId="0" borderId="12" xfId="0" quotePrefix="1" applyFont="1" applyBorder="1" applyAlignment="1">
      <alignment horizontal="center"/>
    </xf>
    <xf numFmtId="0" fontId="10" fillId="0" borderId="46" xfId="0" applyNumberFormat="1" applyFont="1" applyBorder="1" applyAlignment="1">
      <alignment horizontal="center"/>
    </xf>
    <xf numFmtId="0" fontId="0" fillId="0" borderId="12" xfId="0" applyFill="1" applyBorder="1" applyAlignment="1" applyProtection="1">
      <alignment horizontal="center"/>
    </xf>
    <xf numFmtId="0" fontId="9" fillId="0" borderId="0" xfId="0" applyFont="1"/>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Border="1" applyAlignment="1">
      <alignment horizontal="center"/>
    </xf>
    <xf numFmtId="0" fontId="9" fillId="0" borderId="0" xfId="0" applyFont="1" applyFill="1" applyAlignment="1">
      <alignment horizontal="right"/>
    </xf>
    <xf numFmtId="0" fontId="9" fillId="0" borderId="0" xfId="0" applyFont="1" applyFill="1" applyAlignment="1">
      <alignment horizontal="center"/>
    </xf>
    <xf numFmtId="0" fontId="9" fillId="0" borderId="12" xfId="0" applyFont="1" applyFill="1" applyBorder="1" applyAlignment="1">
      <alignment horizontal="center"/>
    </xf>
    <xf numFmtId="0" fontId="26" fillId="0" borderId="12" xfId="0" applyFont="1" applyFill="1" applyBorder="1" applyAlignment="1">
      <alignment horizontal="center" vertical="center" shrinkToFit="1"/>
    </xf>
    <xf numFmtId="0" fontId="10" fillId="0" borderId="0" xfId="0" applyFont="1" applyBorder="1" applyAlignment="1">
      <alignment horizontal="right"/>
    </xf>
    <xf numFmtId="0" fontId="9" fillId="0" borderId="12" xfId="0" applyFont="1" applyBorder="1"/>
    <xf numFmtId="0" fontId="9" fillId="0" borderId="0" xfId="0" applyFont="1" applyBorder="1" applyAlignment="1"/>
    <xf numFmtId="0" fontId="9" fillId="0" borderId="0" xfId="0" applyFont="1" applyBorder="1" applyAlignment="1">
      <alignment horizontal="right"/>
    </xf>
    <xf numFmtId="0" fontId="9" fillId="0" borderId="0" xfId="0" applyFont="1" applyFill="1" applyBorder="1" applyAlignment="1">
      <alignment horizontal="left"/>
    </xf>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Fill="1" applyBorder="1" applyAlignment="1">
      <alignment vertical="center"/>
    </xf>
    <xf numFmtId="14" fontId="9" fillId="0" borderId="10" xfId="0" applyNumberFormat="1" applyFont="1" applyFill="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0"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Fill="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Fill="1" applyBorder="1" applyAlignment="1">
      <alignment vertical="center"/>
    </xf>
    <xf numFmtId="0" fontId="25" fillId="0" borderId="1" xfId="0" applyFont="1" applyFill="1" applyBorder="1" applyAlignment="1">
      <alignment vertical="center"/>
    </xf>
    <xf numFmtId="0" fontId="26" fillId="0" borderId="58" xfId="0" applyFont="1" applyFill="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Fill="1" applyBorder="1" applyAlignment="1">
      <alignment vertical="center"/>
    </xf>
    <xf numFmtId="0" fontId="9" fillId="0" borderId="1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Fill="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Border="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Border="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0" borderId="11" xfId="0" applyFont="1" applyBorder="1" applyAlignment="1">
      <alignment vertical="center" shrinkToFit="1"/>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Border="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23" fillId="0" borderId="0" xfId="0" applyFont="1" applyFill="1"/>
    <xf numFmtId="0" fontId="9" fillId="0" borderId="0" xfId="0" applyFont="1" applyFill="1"/>
    <xf numFmtId="0" fontId="23" fillId="0" borderId="0" xfId="0" applyFont="1" applyBorder="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Fill="1" applyBorder="1" applyAlignment="1">
      <alignment vertical="center"/>
    </xf>
    <xf numFmtId="0" fontId="23" fillId="0" borderId="48" xfId="0" applyFont="1" applyFill="1" applyBorder="1" applyAlignment="1">
      <alignment vertical="center"/>
    </xf>
    <xf numFmtId="177" fontId="23" fillId="0" borderId="48" xfId="0" applyNumberFormat="1" applyFont="1" applyFill="1" applyBorder="1" applyAlignment="1">
      <alignment horizontal="right" vertical="center"/>
    </xf>
    <xf numFmtId="0" fontId="23" fillId="0" borderId="51" xfId="0" applyFont="1" applyFill="1" applyBorder="1"/>
    <xf numFmtId="0" fontId="23" fillId="0" borderId="48" xfId="0" applyFont="1" applyFill="1" applyBorder="1"/>
    <xf numFmtId="0" fontId="23" fillId="0" borderId="49" xfId="0" applyFont="1" applyFill="1" applyBorder="1"/>
    <xf numFmtId="0" fontId="23" fillId="0" borderId="7" xfId="0" applyFont="1" applyFill="1" applyBorder="1" applyAlignment="1">
      <alignment vertical="center"/>
    </xf>
    <xf numFmtId="0" fontId="23" fillId="0" borderId="8" xfId="0" applyFont="1" applyFill="1" applyBorder="1" applyAlignment="1">
      <alignment vertical="center"/>
    </xf>
    <xf numFmtId="177" fontId="23" fillId="0" borderId="8" xfId="0" applyNumberFormat="1" applyFont="1" applyFill="1" applyBorder="1" applyAlignment="1">
      <alignment horizontal="right" vertical="center"/>
    </xf>
    <xf numFmtId="0" fontId="23" fillId="0" borderId="50" xfId="0" applyFont="1" applyFill="1" applyBorder="1"/>
    <xf numFmtId="0" fontId="23" fillId="0" borderId="8" xfId="0" applyFont="1" applyFill="1" applyBorder="1"/>
    <xf numFmtId="0" fontId="23" fillId="0" borderId="9" xfId="0" applyFont="1" applyFill="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0" fillId="0" borderId="12" xfId="0" applyNumberFormat="1" applyFont="1" applyBorder="1" applyAlignment="1">
      <alignment horizontal="center"/>
    </xf>
    <xf numFmtId="0" fontId="12" fillId="0" borderId="59" xfId="0" applyFont="1" applyBorder="1" applyProtection="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Fill="1" applyBorder="1" applyAlignment="1">
      <alignment horizontal="center" vertical="center"/>
    </xf>
    <xf numFmtId="0" fontId="9" fillId="0" borderId="60" xfId="0" applyFont="1" applyFill="1" applyBorder="1" applyAlignment="1">
      <alignment vertical="center"/>
    </xf>
    <xf numFmtId="14" fontId="9" fillId="0" borderId="61" xfId="0" applyNumberFormat="1" applyFont="1" applyFill="1" applyBorder="1" applyAlignment="1">
      <alignment horizontal="center" vertical="center"/>
    </xf>
    <xf numFmtId="0" fontId="0" fillId="0" borderId="60" xfId="0" applyFill="1" applyBorder="1" applyAlignment="1">
      <alignment vertical="center"/>
    </xf>
    <xf numFmtId="0" fontId="21" fillId="0" borderId="5" xfId="0" applyFont="1" applyBorder="1" applyAlignment="1">
      <alignment vertical="top"/>
    </xf>
    <xf numFmtId="0" fontId="22" fillId="0" borderId="0" xfId="0" applyFont="1" applyAlignment="1">
      <alignment vertical="top"/>
    </xf>
    <xf numFmtId="0" fontId="23" fillId="0" borderId="0" xfId="0" applyFont="1" applyAlignment="1"/>
    <xf numFmtId="0" fontId="21" fillId="0" borderId="0" xfId="0" applyFont="1"/>
    <xf numFmtId="0" fontId="9" fillId="0" borderId="1" xfId="0" applyFont="1" applyFill="1" applyBorder="1"/>
    <xf numFmtId="177" fontId="10" fillId="0" borderId="1" xfId="0" applyNumberFormat="1" applyFont="1" applyFill="1" applyBorder="1"/>
    <xf numFmtId="0" fontId="10" fillId="0" borderId="1" xfId="0" applyFont="1" applyFill="1" applyBorder="1" applyAlignment="1">
      <alignment horizontal="center"/>
    </xf>
    <xf numFmtId="0" fontId="10" fillId="0" borderId="1" xfId="0" applyFont="1" applyFill="1" applyBorder="1"/>
    <xf numFmtId="14" fontId="10" fillId="0" borderId="1" xfId="0" applyNumberFormat="1" applyFont="1" applyFill="1" applyBorder="1"/>
    <xf numFmtId="0" fontId="10" fillId="0" borderId="1" xfId="0" applyNumberFormat="1" applyFont="1" applyFill="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0" fontId="10" fillId="0" borderId="0" xfId="0" applyFont="1" applyFill="1"/>
    <xf numFmtId="177" fontId="10" fillId="0" borderId="1" xfId="0" applyNumberFormat="1" applyFont="1" applyBorder="1"/>
    <xf numFmtId="0" fontId="12" fillId="0" borderId="1" xfId="0" applyFont="1" applyFill="1" applyBorder="1"/>
    <xf numFmtId="49" fontId="12" fillId="0" borderId="1" xfId="0" applyNumberFormat="1" applyFont="1" applyFill="1" applyBorder="1" applyAlignment="1">
      <alignment horizontal="right"/>
    </xf>
    <xf numFmtId="14" fontId="0" fillId="0" borderId="0" xfId="0" applyNumberFormat="1" applyFill="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Fill="1" applyBorder="1"/>
    <xf numFmtId="0" fontId="10" fillId="4" borderId="2" xfId="0" applyFont="1" applyFill="1" applyBorder="1"/>
    <xf numFmtId="0" fontId="10" fillId="4" borderId="4" xfId="0" applyFont="1" applyFill="1" applyBorder="1"/>
    <xf numFmtId="0" fontId="36" fillId="0" borderId="1" xfId="0" applyFont="1" applyBorder="1"/>
    <xf numFmtId="0" fontId="37" fillId="0" borderId="0" xfId="0" applyFont="1" applyAlignment="1">
      <alignment vertical="center"/>
    </xf>
    <xf numFmtId="0" fontId="38" fillId="0" borderId="0" xfId="0" applyFont="1" applyAlignment="1">
      <alignment vertical="center"/>
    </xf>
    <xf numFmtId="0" fontId="0" fillId="0" borderId="0" xfId="0" applyAlignment="1">
      <alignment horizontal="center"/>
    </xf>
    <xf numFmtId="0" fontId="0" fillId="0" borderId="0" xfId="0" applyBorder="1" applyAlignment="1">
      <alignment horizontal="right"/>
    </xf>
    <xf numFmtId="0" fontId="0" fillId="0" borderId="0" xfId="0" applyBorder="1" applyAlignment="1">
      <alignment vertical="center"/>
    </xf>
    <xf numFmtId="0" fontId="15" fillId="0" borderId="48" xfId="0" applyFont="1" applyBorder="1"/>
    <xf numFmtId="0" fontId="0" fillId="0" borderId="0" xfId="0" applyFill="1" applyBorder="1" applyAlignment="1" applyProtection="1">
      <alignment horizont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Border="1" applyAlignment="1">
      <alignment horizontal="center" vertical="center"/>
    </xf>
    <xf numFmtId="0" fontId="8" fillId="2" borderId="0" xfId="0" applyFont="1" applyFill="1" applyBorder="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Border="1" applyAlignment="1">
      <alignment horizontal="center" vertical="center" shrinkToFit="1"/>
    </xf>
    <xf numFmtId="178" fontId="0" fillId="2" borderId="0" xfId="0" applyNumberFormat="1" applyFill="1" applyBorder="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0" fillId="0" borderId="0" xfId="0" applyBorder="1" applyAlignment="1">
      <alignment vertical="top"/>
    </xf>
    <xf numFmtId="0" fontId="0" fillId="0" borderId="0" xfId="0" applyFill="1" applyBorder="1" applyAlignment="1">
      <alignment vertical="top"/>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Border="1" applyAlignment="1">
      <alignment horizontal="center" shrinkToFit="1"/>
    </xf>
    <xf numFmtId="0" fontId="24" fillId="0" borderId="0" xfId="0" applyFont="1" applyBorder="1" applyAlignment="1">
      <alignment horizontal="center" vertical="center" wrapText="1"/>
    </xf>
    <xf numFmtId="0" fontId="35" fillId="0" borderId="0" xfId="0" applyFont="1" applyBorder="1" applyAlignment="1">
      <alignment horizontal="center" vertical="center"/>
    </xf>
    <xf numFmtId="177" fontId="16" fillId="0" borderId="0" xfId="0" applyNumberFormat="1" applyFont="1" applyBorder="1" applyAlignment="1">
      <alignment horizontal="right" vertical="center"/>
    </xf>
    <xf numFmtId="0" fontId="16" fillId="0" borderId="0" xfId="0" applyFont="1" applyFill="1" applyBorder="1"/>
    <xf numFmtId="177" fontId="16" fillId="0" borderId="0" xfId="0" applyNumberFormat="1" applyFont="1" applyFill="1" applyBorder="1" applyAlignment="1">
      <alignment horizontal="right" vertical="center"/>
    </xf>
    <xf numFmtId="0" fontId="8" fillId="0" borderId="57" xfId="0" applyFont="1" applyFill="1" applyBorder="1" applyAlignment="1">
      <alignment horizontal="center" vertical="center"/>
    </xf>
    <xf numFmtId="0" fontId="0" fillId="0" borderId="87" xfId="0" applyBorder="1" applyAlignment="1">
      <alignment vertical="center"/>
    </xf>
    <xf numFmtId="177" fontId="16" fillId="0" borderId="49" xfId="0" applyNumberFormat="1" applyFont="1" applyFill="1" applyBorder="1" applyAlignment="1">
      <alignment horizontal="right" vertical="center"/>
    </xf>
    <xf numFmtId="177" fontId="16" fillId="0" borderId="9" xfId="0" applyNumberFormat="1" applyFont="1" applyFill="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Border="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applyAlignment="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Fill="1" applyBorder="1" applyAlignment="1">
      <alignment horizontal="center" vertical="center"/>
    </xf>
    <xf numFmtId="0" fontId="40" fillId="0" borderId="42" xfId="0" applyFont="1" applyFill="1" applyBorder="1" applyAlignment="1">
      <alignment horizontal="center" vertical="center"/>
    </xf>
    <xf numFmtId="0" fontId="16" fillId="0" borderId="8" xfId="0" applyFont="1" applyFill="1" applyBorder="1" applyAlignment="1">
      <alignment horizontal="right" vertical="center"/>
    </xf>
    <xf numFmtId="0" fontId="16" fillId="0" borderId="0" xfId="0" applyFont="1" applyBorder="1" applyAlignment="1"/>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80" fontId="16" fillId="0" borderId="48" xfId="0" applyNumberFormat="1" applyFont="1" applyBorder="1" applyAlignment="1">
      <alignment horizontal="right"/>
    </xf>
    <xf numFmtId="180" fontId="15" fillId="0" borderId="48" xfId="0" applyNumberFormat="1" applyFont="1" applyBorder="1"/>
    <xf numFmtId="180" fontId="16" fillId="0" borderId="8" xfId="0" applyNumberFormat="1" applyFont="1" applyBorder="1" applyAlignment="1">
      <alignment horizontal="right" vertical="center"/>
    </xf>
    <xf numFmtId="180" fontId="16" fillId="0" borderId="8" xfId="0" applyNumberFormat="1" applyFont="1" applyBorder="1" applyAlignment="1">
      <alignment vertic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4" fontId="0" fillId="0" borderId="12" xfId="0" applyNumberFormat="1" applyBorder="1" applyAlignment="1">
      <alignment horizontal="center"/>
    </xf>
    <xf numFmtId="0" fontId="0" fillId="0" borderId="0" xfId="0" applyBorder="1" applyAlignment="1">
      <alignment horizontal="right"/>
    </xf>
    <xf numFmtId="0" fontId="2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5" fillId="2" borderId="0" xfId="0" applyFont="1" applyFill="1" applyBorder="1" applyAlignment="1">
      <alignment horizontal="center" vertical="center" shrinkToFit="1"/>
    </xf>
    <xf numFmtId="0" fontId="41" fillId="0" borderId="0" xfId="0" applyFont="1" applyBorder="1" applyAlignment="1">
      <alignment vertical="top" wrapText="1"/>
    </xf>
    <xf numFmtId="0" fontId="41" fillId="0" borderId="0" xfId="0" applyFont="1" applyBorder="1"/>
    <xf numFmtId="0" fontId="41" fillId="0" borderId="0" xfId="0" applyFont="1" applyBorder="1" applyAlignment="1">
      <alignment vertical="top"/>
    </xf>
    <xf numFmtId="0" fontId="41" fillId="0" borderId="0" xfId="0" applyFont="1" applyBorder="1" applyAlignment="1">
      <alignment vertical="center"/>
    </xf>
    <xf numFmtId="0" fontId="23" fillId="0" borderId="0" xfId="0" applyFont="1" applyBorder="1" applyAlignment="1"/>
    <xf numFmtId="0" fontId="16" fillId="0" borderId="0" xfId="0" applyFont="1" applyFill="1" applyBorder="1" applyAlignment="1">
      <alignment horizontal="left" vertical="center"/>
    </xf>
    <xf numFmtId="178" fontId="16" fillId="0" borderId="0" xfId="0" applyNumberFormat="1" applyFont="1" applyFill="1" applyBorder="1" applyAlignment="1">
      <alignment horizontal="left" vertical="center"/>
    </xf>
    <xf numFmtId="178" fontId="16" fillId="0" borderId="66" xfId="0" applyNumberFormat="1" applyFont="1" applyFill="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Fill="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Fill="1" applyBorder="1" applyAlignment="1">
      <alignment vertical="center"/>
    </xf>
    <xf numFmtId="180" fontId="16" fillId="0" borderId="60" xfId="0" applyNumberFormat="1" applyFont="1" applyFill="1" applyBorder="1" applyAlignment="1">
      <alignment horizontal="right" vertical="center"/>
    </xf>
    <xf numFmtId="180" fontId="16" fillId="0" borderId="60" xfId="0" applyNumberFormat="1" applyFont="1" applyFill="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Font="1" applyBorder="1"/>
    <xf numFmtId="0" fontId="16" fillId="0" borderId="6" xfId="0" applyFont="1" applyBorder="1" applyAlignment="1">
      <alignment vertical="center"/>
    </xf>
    <xf numFmtId="0" fontId="0" fillId="0" borderId="3" xfId="0" applyBorder="1"/>
    <xf numFmtId="0" fontId="16" fillId="0" borderId="59" xfId="0" applyFont="1" applyFill="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177" fontId="36" fillId="0" borderId="1" xfId="0" applyNumberFormat="1" applyFont="1" applyFill="1" applyBorder="1"/>
    <xf numFmtId="0" fontId="10" fillId="0" borderId="0" xfId="0" applyFont="1" applyFill="1" applyBorder="1" applyAlignment="1">
      <alignment vertical="top"/>
    </xf>
    <xf numFmtId="178" fontId="23" fillId="0" borderId="0" xfId="0" applyNumberFormat="1" applyFont="1" applyFill="1" applyBorder="1" applyAlignment="1">
      <alignment horizontal="left" vertical="center"/>
    </xf>
    <xf numFmtId="0" fontId="44" fillId="0" borderId="4" xfId="0" applyFont="1" applyBorder="1" applyAlignment="1">
      <alignment horizontal="center" vertical="center"/>
    </xf>
    <xf numFmtId="0" fontId="8" fillId="0" borderId="12" xfId="0" applyFont="1" applyFill="1" applyBorder="1" applyAlignment="1" applyProtection="1">
      <alignment horizontal="center" vertical="center" shrinkToFit="1"/>
    </xf>
    <xf numFmtId="0" fontId="8"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0" fillId="0" borderId="0" xfId="0" applyFont="1" applyBorder="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Border="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75"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11" xfId="0" applyFill="1" applyBorder="1" applyAlignment="1">
      <alignment horizontal="left" vertical="center" shrinkToFit="1"/>
    </xf>
    <xf numFmtId="0" fontId="0" fillId="0" borderId="60" xfId="0" applyFill="1"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14" fontId="0" fillId="0" borderId="12" xfId="0" applyNumberFormat="1" applyBorder="1" applyAlignment="1">
      <alignment horizontal="center"/>
    </xf>
    <xf numFmtId="0" fontId="18" fillId="0" borderId="0" xfId="0" applyFont="1" applyBorder="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Border="1" applyAlignment="1">
      <alignment horizontal="right"/>
    </xf>
    <xf numFmtId="0" fontId="0" fillId="0" borderId="0" xfId="0" applyFill="1" applyBorder="1" applyAlignment="1">
      <alignment horizontal="right"/>
    </xf>
    <xf numFmtId="0" fontId="0" fillId="0" borderId="93" xfId="0" applyBorder="1" applyAlignment="1">
      <alignment horizontal="right" shrinkToFit="1"/>
    </xf>
    <xf numFmtId="0" fontId="0" fillId="0" borderId="7" xfId="0" applyBorder="1" applyAlignment="1">
      <alignment horizontal="left" vertical="center"/>
    </xf>
    <xf numFmtId="0" fontId="0" fillId="0" borderId="8" xfId="0" applyBorder="1" applyAlignment="1">
      <alignment horizontal="left" vertical="center"/>
    </xf>
    <xf numFmtId="179" fontId="8" fillId="0" borderId="0" xfId="0" applyNumberFormat="1" applyFont="1" applyBorder="1" applyAlignment="1">
      <alignment horizontal="right" vertical="top"/>
    </xf>
    <xf numFmtId="179" fontId="8" fillId="0" borderId="96" xfId="0" applyNumberFormat="1" applyFont="1" applyBorder="1" applyAlignment="1">
      <alignment horizontal="right" vertical="top"/>
    </xf>
    <xf numFmtId="0" fontId="0" fillId="0" borderId="11" xfId="0" applyFill="1" applyBorder="1" applyAlignment="1">
      <alignment horizontal="left" vertical="center"/>
    </xf>
    <xf numFmtId="0" fontId="0" fillId="0" borderId="60" xfId="0" applyFill="1" applyBorder="1" applyAlignment="1">
      <alignment horizontal="left" vertical="center"/>
    </xf>
    <xf numFmtId="0" fontId="9" fillId="0" borderId="0" xfId="0" applyFont="1" applyBorder="1" applyAlignment="1">
      <alignment horizontal="center"/>
    </xf>
    <xf numFmtId="0" fontId="41" fillId="0" borderId="0" xfId="0" applyFont="1" applyBorder="1" applyAlignment="1">
      <alignment horizontal="left" vertical="top" wrapTex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 xfId="0" applyFont="1" applyBorder="1" applyAlignment="1">
      <alignment horizontal="left" vertical="top"/>
    </xf>
    <xf numFmtId="0" fontId="9" fillId="0" borderId="0" xfId="0" applyFont="1" applyAlignment="1">
      <alignment horizontal="center"/>
    </xf>
    <xf numFmtId="0" fontId="9" fillId="0" borderId="0" xfId="0" applyFont="1" applyBorder="1" applyAlignment="1">
      <alignment horizontal="right"/>
    </xf>
    <xf numFmtId="0" fontId="9" fillId="0" borderId="0" xfId="0" applyFont="1" applyAlignment="1">
      <alignment horizontal="left" vertical="top" wrapText="1"/>
    </xf>
    <xf numFmtId="0" fontId="9" fillId="0" borderId="0" xfId="0" applyFont="1" applyBorder="1" applyAlignment="1">
      <alignment horizontal="right" shrinkToFit="1"/>
    </xf>
    <xf numFmtId="0" fontId="9" fillId="0" borderId="0" xfId="0" applyFont="1" applyFill="1" applyBorder="1" applyAlignment="1">
      <alignment horizontal="right"/>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Border="1" applyAlignment="1">
      <alignment horizontal="left" vertical="top" wrapText="1"/>
    </xf>
  </cellXfs>
  <cellStyles count="1">
    <cellStyle name="標準" xfId="0" builtinId="0"/>
  </cellStyles>
  <dxfs count="93">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tabSelected="1" view="pageBreakPreview" zoomScaleNormal="100" zoomScaleSheetLayoutView="100" workbookViewId="0">
      <selection activeCell="L10" sqref="L10:N10"/>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s>
  <sheetData>
    <row r="1" spans="1:17">
      <c r="A1" s="573" t="s">
        <v>380</v>
      </c>
      <c r="B1" s="573"/>
      <c r="C1" s="573"/>
      <c r="D1" s="573"/>
      <c r="E1" s="573"/>
      <c r="F1" s="573"/>
      <c r="G1" s="573"/>
      <c r="H1" s="573"/>
      <c r="I1" s="573"/>
      <c r="J1" s="573"/>
      <c r="K1" s="573"/>
      <c r="L1" s="573"/>
      <c r="M1" s="573"/>
      <c r="N1" s="573"/>
      <c r="O1" s="573"/>
    </row>
    <row r="2" spans="1:17" ht="6" customHeight="1">
      <c r="A2" s="74"/>
      <c r="B2" s="74"/>
      <c r="C2" s="405"/>
      <c r="D2" s="405"/>
      <c r="E2" s="405"/>
      <c r="F2" s="405"/>
      <c r="G2" s="74"/>
      <c r="H2" s="405"/>
      <c r="I2" s="74"/>
      <c r="J2" s="74"/>
      <c r="K2" s="74"/>
      <c r="L2" s="74"/>
      <c r="M2" s="405"/>
      <c r="N2" s="405"/>
      <c r="O2" s="575">
        <f>MAX(修正履歴!A:A)</f>
        <v>45737</v>
      </c>
      <c r="P2" s="575"/>
      <c r="Q2" s="575"/>
    </row>
    <row r="3" spans="1:17">
      <c r="A3" s="87" t="s">
        <v>297</v>
      </c>
      <c r="G3" s="74"/>
      <c r="H3" s="405"/>
      <c r="I3" s="74"/>
      <c r="J3" s="74"/>
      <c r="K3" s="74"/>
      <c r="L3" s="74"/>
      <c r="M3" s="405"/>
      <c r="N3" s="405"/>
      <c r="O3" s="575"/>
      <c r="P3" s="575"/>
      <c r="Q3" s="575"/>
    </row>
    <row r="4" spans="1:17" ht="6" customHeight="1">
      <c r="A4" s="74"/>
      <c r="B4" s="87"/>
      <c r="C4" s="87"/>
      <c r="D4" s="87"/>
      <c r="E4" s="87"/>
      <c r="F4" s="87"/>
      <c r="G4" s="74"/>
      <c r="H4" s="405"/>
      <c r="I4" s="74"/>
      <c r="J4" s="74"/>
      <c r="K4" s="74"/>
      <c r="L4" s="74"/>
      <c r="M4" s="405"/>
      <c r="N4" s="405"/>
      <c r="O4" s="74"/>
    </row>
    <row r="5" spans="1:17">
      <c r="A5" s="74"/>
      <c r="B5" s="574"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574"/>
      <c r="D5" s="574"/>
      <c r="E5" s="574"/>
      <c r="F5" s="574"/>
      <c r="G5" s="574"/>
      <c r="H5" s="574"/>
      <c r="I5" s="574"/>
      <c r="J5" s="574"/>
      <c r="K5" s="574"/>
      <c r="L5" s="574"/>
      <c r="M5" s="574"/>
      <c r="N5" s="574"/>
      <c r="O5" s="574"/>
    </row>
    <row r="6" spans="1:17">
      <c r="A6" s="74"/>
      <c r="B6" s="574"/>
      <c r="C6" s="574"/>
      <c r="D6" s="574"/>
      <c r="E6" s="574"/>
      <c r="F6" s="574"/>
      <c r="G6" s="574"/>
      <c r="H6" s="574"/>
      <c r="I6" s="574"/>
      <c r="J6" s="574"/>
      <c r="K6" s="574"/>
      <c r="L6" s="574"/>
      <c r="M6" s="574"/>
      <c r="N6" s="574"/>
      <c r="O6" s="574"/>
    </row>
    <row r="7" spans="1:17" ht="5.25" customHeight="1">
      <c r="A7" s="74"/>
      <c r="B7" s="74"/>
      <c r="C7" s="405"/>
      <c r="D7" s="405"/>
      <c r="E7" s="405"/>
      <c r="F7" s="405"/>
      <c r="G7" s="74"/>
      <c r="H7" s="405"/>
      <c r="I7" s="57"/>
      <c r="J7" s="164"/>
      <c r="K7" s="57"/>
      <c r="L7" s="166"/>
      <c r="M7" s="166"/>
      <c r="N7" s="166"/>
      <c r="O7" s="165"/>
    </row>
    <row r="8" spans="1:17" ht="14.25" thickBot="1">
      <c r="A8" s="199"/>
      <c r="B8" s="199"/>
      <c r="C8" s="405"/>
      <c r="D8" s="405"/>
      <c r="E8" s="405"/>
      <c r="F8" s="405"/>
      <c r="G8" s="199"/>
      <c r="H8" s="584" t="s">
        <v>386</v>
      </c>
      <c r="I8" s="584"/>
      <c r="J8" s="584"/>
      <c r="K8" s="584"/>
      <c r="L8" s="578"/>
      <c r="M8" s="578"/>
      <c r="N8" s="578"/>
      <c r="O8" s="165"/>
    </row>
    <row r="9" spans="1:17" ht="9.9499999999999993" customHeight="1">
      <c r="A9" s="199"/>
      <c r="B9" s="199"/>
      <c r="C9" s="405"/>
      <c r="D9" s="405"/>
      <c r="E9" s="405"/>
      <c r="F9" s="405"/>
      <c r="G9" s="199"/>
      <c r="H9" s="405"/>
      <c r="I9" s="57"/>
      <c r="J9" s="57"/>
      <c r="K9" s="57"/>
      <c r="L9" s="579" t="s">
        <v>941</v>
      </c>
      <c r="M9" s="579"/>
      <c r="N9" s="579"/>
      <c r="O9" s="165"/>
    </row>
    <row r="10" spans="1:17" ht="14.25" thickBot="1">
      <c r="A10" s="204"/>
      <c r="C10" s="209" t="s">
        <v>620</v>
      </c>
      <c r="D10" s="217">
        <v>2025</v>
      </c>
      <c r="E10" s="409"/>
      <c r="F10" s="209"/>
      <c r="H10" s="585" t="s">
        <v>396</v>
      </c>
      <c r="I10" s="585"/>
      <c r="J10" s="585"/>
      <c r="K10" s="585"/>
      <c r="L10" s="545" t="s">
        <v>925</v>
      </c>
      <c r="M10" s="545"/>
      <c r="N10" s="545"/>
      <c r="O10" s="165"/>
    </row>
    <row r="11" spans="1:17" ht="14.25" thickBot="1">
      <c r="A11" s="163"/>
      <c r="C11" s="187" t="str">
        <f>IF(VLOOKUP(L10,計算シート!F15:G22,2,0)=4,"奨学生番号","申込受付番号")</f>
        <v>申込受付番号</v>
      </c>
      <c r="D11" s="556"/>
      <c r="E11" s="556"/>
      <c r="F11" s="556"/>
      <c r="G11" s="405" t="s">
        <v>940</v>
      </c>
      <c r="H11" s="521"/>
      <c r="I11" s="165" t="s">
        <v>940</v>
      </c>
      <c r="J11" s="581"/>
      <c r="K11" s="581"/>
      <c r="L11" s="581"/>
      <c r="M11" s="581"/>
      <c r="N11" s="581"/>
      <c r="O11" s="165"/>
    </row>
    <row r="12" spans="1:17" ht="2.25" customHeight="1">
      <c r="A12" s="405"/>
      <c r="B12" s="139"/>
      <c r="C12" s="471"/>
      <c r="D12" s="472"/>
      <c r="E12" s="472"/>
      <c r="F12" s="472"/>
      <c r="G12" s="473"/>
      <c r="H12" s="474"/>
      <c r="I12" s="473"/>
      <c r="J12" s="475"/>
      <c r="K12" s="475"/>
      <c r="L12" s="475"/>
      <c r="M12" s="475"/>
      <c r="N12" s="473"/>
      <c r="O12" s="165"/>
    </row>
    <row r="13" spans="1:17" ht="14.25" thickBot="1">
      <c r="B13" s="478"/>
      <c r="C13" s="477" t="str">
        <f>IF(VLOOKUP(L10,計算シート!F15:G22,2,0)=4,"奨学生","申込者")&amp;"本人氏名"</f>
        <v>申込者本人氏名</v>
      </c>
      <c r="D13" s="557"/>
      <c r="E13" s="557"/>
      <c r="F13" s="557"/>
      <c r="G13" s="586" t="str">
        <f>IF(計算シート!C67=0,"本人生年月日","")</f>
        <v/>
      </c>
      <c r="H13" s="586"/>
      <c r="I13" s="578"/>
      <c r="J13" s="578"/>
      <c r="K13" s="578"/>
      <c r="L13" s="578"/>
      <c r="M13" s="470" t="str">
        <f>IF(計算シート!C67=0,"（ yyyy / mm / dd ）","")</f>
        <v/>
      </c>
      <c r="N13" s="476"/>
    </row>
    <row r="14" spans="1:17" ht="2.1" customHeight="1">
      <c r="B14" s="139"/>
      <c r="C14" s="471"/>
      <c r="D14" s="480"/>
      <c r="E14" s="480"/>
      <c r="F14" s="480"/>
      <c r="G14" s="481"/>
      <c r="H14" s="481"/>
      <c r="I14" s="482"/>
      <c r="J14" s="482"/>
      <c r="K14" s="483"/>
      <c r="L14" s="483"/>
      <c r="M14" s="484"/>
      <c r="N14" s="483"/>
    </row>
    <row r="15" spans="1:17" ht="14.25" thickBot="1">
      <c r="A15" s="479"/>
      <c r="B15" s="478"/>
      <c r="C15" s="477" t="str">
        <f>IF(計算シート!C67=0,"生計維持者１","配偶者")&amp;"の氏名"</f>
        <v>配偶者の氏名</v>
      </c>
      <c r="D15" s="557"/>
      <c r="E15" s="557"/>
      <c r="F15" s="557"/>
      <c r="G15" s="582" t="str">
        <f>IF(計算シート!C67=0,"本人との続柄","")</f>
        <v/>
      </c>
      <c r="H15" s="582"/>
      <c r="I15" s="558" t="s">
        <v>1065</v>
      </c>
      <c r="J15" s="558"/>
      <c r="K15" s="490"/>
      <c r="L15" s="490"/>
      <c r="M15" s="491"/>
      <c r="N15" s="492"/>
    </row>
    <row r="16" spans="1:17" ht="2.1" customHeight="1">
      <c r="B16" s="139"/>
      <c r="C16" s="471"/>
      <c r="D16" s="480"/>
      <c r="E16" s="480"/>
      <c r="F16" s="480"/>
      <c r="G16" s="493"/>
      <c r="H16" s="493"/>
      <c r="I16" s="494"/>
      <c r="J16" s="494"/>
      <c r="K16" s="495"/>
      <c r="L16" s="495"/>
      <c r="M16" s="496"/>
      <c r="N16" s="496"/>
    </row>
    <row r="17" spans="1:14" ht="14.25" thickBot="1">
      <c r="A17" s="479"/>
      <c r="B17" s="478"/>
      <c r="C17" s="477" t="str">
        <f>IF(AND(計算シート!C67=0,NOT(OR(F36="いいえ",I15="祖父",I15="祖母",I15="その他"))),"生計維持者２"&amp;"の氏名","")</f>
        <v/>
      </c>
      <c r="D17" s="558"/>
      <c r="E17" s="558"/>
      <c r="F17" s="558"/>
      <c r="G17" s="548" t="str">
        <f>IF(AND(計算シート!C67=0,NOT(OR(F36="いいえ",I15="祖父",I15="祖母",I15="その他"))),"本人との続柄","")</f>
        <v/>
      </c>
      <c r="H17" s="548"/>
      <c r="I17" s="580" t="s">
        <v>1066</v>
      </c>
      <c r="J17" s="580"/>
      <c r="K17" s="582" t="str">
        <f>IF(AND(計算シート!C67=0,NOT(OR(F36="いいえ",I15="祖父",I15="祖母",I15="その他"))),IF(OR(AND(I15="父",I17="父"),AND(I15="母",I17="母")),"生計維持者１と２の続柄が同じです","※生計維持者２がいない場合、氏名は入力しないでください"),"")</f>
        <v/>
      </c>
      <c r="L17" s="582"/>
      <c r="M17" s="582"/>
      <c r="N17" s="583"/>
    </row>
    <row r="18" spans="1:14" ht="2.1" customHeight="1">
      <c r="C18" s="406"/>
      <c r="D18" s="449"/>
      <c r="E18" s="449"/>
      <c r="F18" s="449"/>
      <c r="G18" s="485"/>
      <c r="H18" s="485"/>
      <c r="I18" s="450"/>
      <c r="J18" s="450"/>
      <c r="L18" s="469"/>
      <c r="M18" s="469"/>
      <c r="N18" s="202"/>
    </row>
    <row r="19" spans="1:14">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row>
    <row r="20" spans="1:14">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row>
    <row r="21" spans="1:14" ht="3.75" customHeight="1" thickBot="1">
      <c r="A21" s="80"/>
      <c r="B21" s="80"/>
      <c r="C21" s="80"/>
      <c r="D21" s="80"/>
      <c r="E21" s="80"/>
      <c r="F21" s="80"/>
      <c r="G21" s="80"/>
      <c r="H21" s="57"/>
      <c r="I21" s="57"/>
      <c r="L21" s="57"/>
      <c r="M21" s="57"/>
      <c r="N21" s="57"/>
    </row>
    <row r="22" spans="1:14" s="98" customFormat="1" ht="15.6" customHeight="1" thickTop="1">
      <c r="A22" s="86" t="str">
        <f>IF(計算シート!C67=0,"奨学生本人情報","※大学院申込の場合、この欄は入力不要です")</f>
        <v>※大学院申込の場合、この欄は入力不要です</v>
      </c>
      <c r="B22" s="96"/>
      <c r="C22" s="96"/>
      <c r="D22" s="96"/>
      <c r="E22" s="96"/>
      <c r="F22" s="96"/>
      <c r="G22" s="97"/>
      <c r="H22" s="456"/>
      <c r="I22" s="83" t="s">
        <v>373</v>
      </c>
      <c r="J22" s="189"/>
      <c r="K22" s="189"/>
      <c r="L22" s="189"/>
      <c r="M22" s="189"/>
      <c r="N22" s="97"/>
    </row>
    <row r="23" spans="1:14" s="98" customFormat="1" ht="12.95" customHeight="1" thickBot="1">
      <c r="A23" s="170" t="s">
        <v>316</v>
      </c>
      <c r="B23" s="576" t="str">
        <f>IF(計算シート!C67=0,"生年月日（yyyy/mm/dd）","")</f>
        <v/>
      </c>
      <c r="C23" s="577"/>
      <c r="D23" s="577"/>
      <c r="E23" s="365"/>
      <c r="F23" s="524" t="str">
        <f>IF(I13="","",I13)</f>
        <v/>
      </c>
      <c r="G23" s="102"/>
      <c r="I23" s="191" t="s">
        <v>374</v>
      </c>
      <c r="J23" s="75"/>
      <c r="K23" s="75"/>
      <c r="L23" s="75"/>
      <c r="M23" s="75"/>
      <c r="N23" s="102"/>
    </row>
    <row r="24" spans="1:14" s="98" customFormat="1" ht="12.95" customHeight="1" thickBot="1">
      <c r="A24" s="171" t="s">
        <v>317</v>
      </c>
      <c r="B24" s="571" t="str">
        <f>IF(計算シート!C67=0,"どちらの生計維持者に扶養されていますか","")</f>
        <v/>
      </c>
      <c r="C24" s="572"/>
      <c r="D24" s="572"/>
      <c r="F24" s="73" t="s">
        <v>38</v>
      </c>
      <c r="G24" s="102"/>
      <c r="I24" s="191" t="s">
        <v>375</v>
      </c>
      <c r="J24" s="75"/>
      <c r="K24" s="75"/>
      <c r="L24" s="75"/>
      <c r="M24" s="75"/>
      <c r="N24" s="102"/>
    </row>
    <row r="25" spans="1:14" s="98" customFormat="1" ht="12.95" customHeight="1" thickBot="1">
      <c r="A25" s="171" t="s">
        <v>318</v>
      </c>
      <c r="B25" s="587" t="str">
        <f>IF(計算シート!C67=0,"障がい者に該当していますか","")</f>
        <v/>
      </c>
      <c r="C25" s="588"/>
      <c r="D25" s="588"/>
      <c r="E25" s="103"/>
      <c r="F25" s="90" t="s">
        <v>44</v>
      </c>
      <c r="G25" s="102"/>
      <c r="I25" s="191" t="s">
        <v>376</v>
      </c>
      <c r="J25" s="75"/>
      <c r="K25" s="75"/>
      <c r="L25" s="75"/>
      <c r="M25" s="75"/>
      <c r="N25" s="102"/>
    </row>
    <row r="26" spans="1:14" s="98" customFormat="1" ht="12.95" customHeight="1" thickBot="1">
      <c r="A26" s="171" t="s">
        <v>319</v>
      </c>
      <c r="B26" s="559" t="str">
        <f>IF(計算シート!C67=0,"　生計維持者と同居していますか","")</f>
        <v/>
      </c>
      <c r="C26" s="560"/>
      <c r="D26" s="560"/>
      <c r="E26" s="103"/>
      <c r="F26" s="73" t="s">
        <v>40</v>
      </c>
      <c r="G26" s="102"/>
      <c r="I26" s="455">
        <v>1</v>
      </c>
      <c r="J26" s="546" t="s">
        <v>377</v>
      </c>
      <c r="K26" s="547"/>
      <c r="L26" s="547"/>
      <c r="M26" s="547"/>
      <c r="N26" s="523" t="s">
        <v>621</v>
      </c>
    </row>
    <row r="27" spans="1:14" s="98" customFormat="1" ht="12.95" customHeight="1" thickBot="1">
      <c r="A27" s="171" t="s">
        <v>320</v>
      </c>
      <c r="B27" s="559" t="str">
        <f>IF(計算シート!C67=0,"奨学生本人に収入（所得）がありますか","")</f>
        <v/>
      </c>
      <c r="C27" s="560"/>
      <c r="D27" s="560"/>
      <c r="E27" s="99"/>
      <c r="F27" s="58" t="s">
        <v>42</v>
      </c>
      <c r="G27" s="102"/>
      <c r="I27" s="455">
        <v>2</v>
      </c>
      <c r="J27" s="547" t="s">
        <v>384</v>
      </c>
      <c r="K27" s="547"/>
      <c r="L27" s="547"/>
      <c r="M27" s="547"/>
      <c r="N27" s="523" t="str">
        <f>IF(F36="はい","○","")</f>
        <v>○</v>
      </c>
    </row>
    <row r="28" spans="1:14" s="98" customFormat="1" ht="12.95" customHeight="1" thickBot="1">
      <c r="A28" s="171" t="s">
        <v>321</v>
      </c>
      <c r="B28" s="559" t="str">
        <f>IF(計算シート!C67=0,"　給与収入金額の通貨","")</f>
        <v/>
      </c>
      <c r="C28" s="560"/>
      <c r="D28" s="560"/>
      <c r="E28" s="99"/>
      <c r="F28" s="73" t="s">
        <v>49</v>
      </c>
      <c r="G28" s="102"/>
      <c r="I28" s="455">
        <v>3</v>
      </c>
      <c r="J28" s="546" t="s">
        <v>383</v>
      </c>
      <c r="K28" s="547"/>
      <c r="L28" s="547"/>
      <c r="M28" s="547"/>
      <c r="N28" s="523" t="str">
        <f>IF(SUM(F51:F59,L51:L59)&gt;0,"○","")</f>
        <v/>
      </c>
    </row>
    <row r="29" spans="1:14" s="98" customFormat="1" ht="12.95" customHeight="1" thickBot="1">
      <c r="A29" s="171" t="s">
        <v>322</v>
      </c>
      <c r="B29" s="559" t="str">
        <f>IF(計算シート!C67=0,"　　給与収入金額","")</f>
        <v/>
      </c>
      <c r="C29" s="560"/>
      <c r="D29" s="560"/>
      <c r="F29" s="200">
        <v>0</v>
      </c>
      <c r="G29" s="100" t="str">
        <f>MID(F28,SEARCH("(",F28)+1,3)</f>
        <v>JPY</v>
      </c>
      <c r="I29" s="455">
        <v>4</v>
      </c>
      <c r="J29" s="546" t="str">
        <f>IF(計算シート!C67=0,"生計維持者が１人のみであることを証するもの","ひとり親世帯に関するもの")</f>
        <v>ひとり親世帯に関するもの</v>
      </c>
      <c r="K29" s="547"/>
      <c r="L29" s="547"/>
      <c r="M29" s="547"/>
      <c r="N29" s="523" t="str">
        <f>IF(OR(AND(計算シート!C67=0,F36="いいえ"),AND(計算シート!C67=1,F40="ひとり親である")),"○","")</f>
        <v/>
      </c>
    </row>
    <row r="30" spans="1:14" s="98" customFormat="1" ht="12.95" customHeight="1" thickBot="1">
      <c r="A30" s="171" t="s">
        <v>323</v>
      </c>
      <c r="B30" s="571" t="str">
        <f>IF(計算シート!C67=0,"　給与・年金以外の所得の通貨","")</f>
        <v/>
      </c>
      <c r="C30" s="572"/>
      <c r="D30" s="572"/>
      <c r="E30" s="99"/>
      <c r="F30" s="73" t="s">
        <v>49</v>
      </c>
      <c r="G30" s="102"/>
      <c r="I30" s="455">
        <v>5</v>
      </c>
      <c r="J30" s="546" t="s">
        <v>381</v>
      </c>
      <c r="K30" s="547"/>
      <c r="L30" s="547"/>
      <c r="M30" s="547"/>
      <c r="N30" s="523" t="str">
        <f>IF(OR(F25="障がい者である",F25="特別の障がい者である",F39="障がい者である",F39="特別の障がい者である",L39="障がい者である",L39="特別の障がい者である",SUM(F57:F59,L57:L59)&gt;0),"○","")</f>
        <v/>
      </c>
    </row>
    <row r="31" spans="1:14" s="98" customFormat="1" ht="12.95" customHeight="1" thickBot="1">
      <c r="A31" s="172" t="s">
        <v>324</v>
      </c>
      <c r="B31" s="554" t="str">
        <f>IF(計算シート!C67=0,"　　給与・年金以外の所得の金額","")</f>
        <v/>
      </c>
      <c r="C31" s="555"/>
      <c r="D31" s="555"/>
      <c r="E31" s="107"/>
      <c r="F31" s="200">
        <v>0</v>
      </c>
      <c r="G31" s="108" t="str">
        <f>MID(F30,SEARCH("(",F30)+1,3)</f>
        <v>JPY</v>
      </c>
      <c r="I31" s="190"/>
      <c r="J31" s="117"/>
      <c r="K31" s="117"/>
      <c r="L31" s="117"/>
      <c r="M31" s="117"/>
      <c r="N31" s="127"/>
    </row>
    <row r="32" spans="1:14" s="98" customFormat="1" ht="3" customHeight="1" thickTop="1"/>
    <row r="33" spans="1:18" s="98" customFormat="1" ht="14.1" customHeight="1" thickBot="1">
      <c r="A33" s="78"/>
      <c r="B33" s="78"/>
      <c r="C33" s="78"/>
      <c r="D33" s="78"/>
      <c r="E33" s="79"/>
      <c r="F33" s="109" t="str">
        <f>IF(計算シート!C67=0,"生計維持者１","申込者本人")</f>
        <v>申込者本人</v>
      </c>
      <c r="G33" s="111"/>
      <c r="H33" s="109"/>
      <c r="I33" s="110"/>
      <c r="J33" s="78"/>
      <c r="K33" s="79"/>
      <c r="L33" s="125" t="str">
        <f>IF(計算シート!C67=0,IF(AND(F36="はい",OR(I15="その他",I15="祖父",I15="祖母")),"生計維持者１の配偶者",IF(AND(F36="はい",OR(AND(I15="父",I17="母"),AND(I15="母",I17="父"))),"生計維持者２","")),IF(F36="はい","申込者本人の配偶者",""))</f>
        <v>申込者本人の配偶者</v>
      </c>
      <c r="M33" s="279" t="str">
        <f>IF(L33="","","★")</f>
        <v>★</v>
      </c>
      <c r="N33" s="440"/>
      <c r="O33" s="441"/>
      <c r="P33" s="112"/>
    </row>
    <row r="34" spans="1:18" s="98" customFormat="1" ht="15.6" customHeight="1" thickTop="1" thickBot="1">
      <c r="A34" s="83" t="str">
        <f>IF(計算シート!C67=0,"生計維持者","申込者本人")&amp;"の基本情報"</f>
        <v>申込者本人の基本情報</v>
      </c>
      <c r="B34" s="428"/>
      <c r="C34" s="428"/>
      <c r="D34" s="428"/>
      <c r="E34" s="429"/>
      <c r="F34" s="75"/>
      <c r="G34" s="75"/>
      <c r="H34" s="75"/>
      <c r="I34" s="113"/>
      <c r="J34" s="75"/>
      <c r="K34" s="76"/>
      <c r="L34" s="126" t="str">
        <f>IF(OR(L33="生計維持者１の配偶者",L33="申込者本人の配偶者"),"(配偶者の基本情報）","")</f>
        <v>(配偶者の基本情報）</v>
      </c>
      <c r="M34" s="97"/>
      <c r="N34" s="510" t="str">
        <f>IF(M33="★","★の者が1/1時","")</f>
        <v>★の者が1/1時</v>
      </c>
      <c r="P34" s="114"/>
    </row>
    <row r="35" spans="1:18" s="98" customFormat="1" ht="12.95" customHeight="1" thickBot="1">
      <c r="A35" s="173" t="s">
        <v>325</v>
      </c>
      <c r="B35" s="571" t="s">
        <v>406</v>
      </c>
      <c r="C35" s="572"/>
      <c r="D35" s="572"/>
      <c r="E35" s="430"/>
      <c r="F35" s="214"/>
      <c r="G35" s="75"/>
      <c r="H35" s="421"/>
      <c r="I35" s="113"/>
      <c r="J35" s="176" t="s">
        <v>330</v>
      </c>
      <c r="K35" s="76"/>
      <c r="L35" s="214"/>
      <c r="M35" s="102"/>
      <c r="N35" s="510" t="str">
        <f>IF(M33="★","点で日本国内に","")</f>
        <v>点で日本国内に</v>
      </c>
      <c r="P35" s="114"/>
    </row>
    <row r="36" spans="1:18" s="98" customFormat="1" ht="12.95" customHeight="1" thickBot="1">
      <c r="A36" s="174" t="s">
        <v>326</v>
      </c>
      <c r="B36" s="559" t="str">
        <f>IF(計算シート!C67=0,"","申込者本人に")&amp;"配偶者はいますか"</f>
        <v>申込者本人に配偶者はいますか</v>
      </c>
      <c r="C36" s="560"/>
      <c r="D36" s="560"/>
      <c r="E36" s="430"/>
      <c r="F36" s="58" t="s">
        <v>40</v>
      </c>
      <c r="G36" s="75"/>
      <c r="H36" s="115"/>
      <c r="I36" s="113"/>
      <c r="J36" s="177"/>
      <c r="K36" s="76"/>
      <c r="L36" s="115"/>
      <c r="M36" s="102"/>
      <c r="N36" s="510" t="str">
        <f>IF(M33="★","居住していた場","")</f>
        <v>居住していた場</v>
      </c>
      <c r="P36" s="114"/>
    </row>
    <row r="37" spans="1:18" s="98" customFormat="1" ht="12.95" hidden="1" customHeight="1" thickBot="1">
      <c r="A37" s="174" t="s">
        <v>327</v>
      </c>
      <c r="B37" s="559" t="str">
        <f>IF(計算シート!C67=0,"　配偶者は生計維持者２ですか","")</f>
        <v/>
      </c>
      <c r="C37" s="560"/>
      <c r="D37" s="560"/>
      <c r="E37" s="430"/>
      <c r="F37" s="58" t="str">
        <f>IF(AND(I15&lt;&gt;"その他",F36="はい"),"はい","いいえ")</f>
        <v>はい</v>
      </c>
      <c r="G37" s="75"/>
      <c r="H37" s="115"/>
      <c r="I37" s="113"/>
      <c r="J37" s="177"/>
      <c r="K37" s="76"/>
      <c r="L37" s="115"/>
      <c r="M37" s="102"/>
      <c r="N37" s="511"/>
      <c r="P37" s="114"/>
      <c r="R37" s="98" t="s">
        <v>1069</v>
      </c>
    </row>
    <row r="38" spans="1:18" s="98" customFormat="1" ht="12.95" customHeight="1" thickBot="1">
      <c r="A38" s="174" t="s">
        <v>327</v>
      </c>
      <c r="B38" s="559" t="str">
        <f>IF(AND(OR(I15&lt;&gt;"その他",I15&lt;&gt;"祖父",I15&lt;&gt;"祖母"),F36="はい"),"　生計維持者２","　配偶者")&amp;"と同居していますか"</f>
        <v>　生計維持者２と同居していますか</v>
      </c>
      <c r="C38" s="560"/>
      <c r="D38" s="565"/>
      <c r="E38" s="63"/>
      <c r="F38" s="58" t="s">
        <v>42</v>
      </c>
      <c r="G38" s="75"/>
      <c r="H38" s="115"/>
      <c r="I38" s="113"/>
      <c r="J38" s="177"/>
      <c r="K38" s="76"/>
      <c r="L38" s="75"/>
      <c r="M38" s="102"/>
      <c r="N38" s="510" t="str">
        <f>IF(M33="★","合でも入力して","")</f>
        <v>合でも入力して</v>
      </c>
      <c r="P38" s="114"/>
    </row>
    <row r="39" spans="1:18" s="98" customFormat="1" ht="12.95" customHeight="1" thickBot="1">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tr">
        <f>IF(M33="★","ください。","")</f>
        <v>ください。</v>
      </c>
      <c r="P39" s="114"/>
    </row>
    <row r="40" spans="1:18" s="98" customFormat="1" ht="12.95" customHeight="1" thickBot="1">
      <c r="A40" s="175" t="s">
        <v>329</v>
      </c>
      <c r="B40" s="554" t="str">
        <f>IF(計算シート!C67=0,"","申込者本人は")&amp;"ひとり親ですか"</f>
        <v>申込者本人はひとり親ですか</v>
      </c>
      <c r="C40" s="555"/>
      <c r="D40" s="555"/>
      <c r="E40" s="82"/>
      <c r="F40" s="59" t="s">
        <v>929</v>
      </c>
      <c r="G40" s="423"/>
      <c r="H40" s="424"/>
      <c r="I40" s="419"/>
      <c r="J40" s="179"/>
      <c r="K40" s="122"/>
      <c r="L40" s="128"/>
      <c r="M40" s="127"/>
      <c r="N40" s="510"/>
      <c r="P40" s="114"/>
    </row>
    <row r="41" spans="1:18" s="146" customFormat="1" ht="3" customHeight="1" thickTop="1" thickBot="1">
      <c r="A41" s="140"/>
      <c r="B41" s="141"/>
      <c r="C41" s="141"/>
      <c r="D41" s="141"/>
      <c r="E41" s="142"/>
      <c r="F41" s="141"/>
      <c r="G41" s="141"/>
      <c r="H41" s="141"/>
      <c r="I41" s="143"/>
      <c r="J41" s="168"/>
      <c r="K41" s="142"/>
      <c r="L41" s="144"/>
      <c r="M41" s="141"/>
      <c r="N41" s="542"/>
      <c r="O41" s="442"/>
      <c r="P41" s="145"/>
    </row>
    <row r="42" spans="1:18" s="98" customFormat="1" ht="15.6" customHeight="1" thickTop="1" thickBot="1">
      <c r="A42" s="83" t="str">
        <f>IF(計算シート!C67=0,"生計維持者の","")&amp;"収入・所得の情報"</f>
        <v>収入・所得の情報</v>
      </c>
      <c r="B42" s="428"/>
      <c r="C42" s="428"/>
      <c r="D42" s="428"/>
      <c r="E42" s="429"/>
      <c r="F42" s="75"/>
      <c r="G42" s="75"/>
      <c r="H42" s="75"/>
      <c r="I42" s="113"/>
      <c r="J42" s="167"/>
      <c r="K42" s="76"/>
      <c r="L42" s="126" t="str">
        <f>IF(L33="生計維持者１の配偶者","(配偶者の収入・所得の情報）","")</f>
        <v/>
      </c>
      <c r="M42" s="97"/>
      <c r="N42" s="510" t="str">
        <f>IF(M33="★","扶養の情報は、","")</f>
        <v>扶養の情報は、</v>
      </c>
      <c r="P42" s="114"/>
    </row>
    <row r="43" spans="1:18" s="98" customFormat="1" ht="12.95" customHeight="1" thickBot="1">
      <c r="A43" s="173" t="s">
        <v>332</v>
      </c>
      <c r="B43" s="568" t="s">
        <v>272</v>
      </c>
      <c r="C43" s="569"/>
      <c r="D43" s="570"/>
      <c r="E43" s="62"/>
      <c r="F43" s="73" t="s">
        <v>785</v>
      </c>
      <c r="G43" s="75"/>
      <c r="H43" s="425"/>
      <c r="I43" s="113"/>
      <c r="J43" s="176" t="s">
        <v>338</v>
      </c>
      <c r="K43" s="76"/>
      <c r="L43" s="73" t="s">
        <v>49</v>
      </c>
      <c r="M43" s="102"/>
      <c r="N43" s="510" t="str">
        <f>IF(M33="★","1/1時点で日本","")</f>
        <v>1/1時点で日本</v>
      </c>
      <c r="P43" s="114"/>
    </row>
    <row r="44" spans="1:18" s="98" customFormat="1" ht="12.95" customHeight="1" thickBot="1">
      <c r="A44" s="174" t="s">
        <v>333</v>
      </c>
      <c r="B44" s="561" t="s">
        <v>274</v>
      </c>
      <c r="C44" s="562"/>
      <c r="D44" s="562"/>
      <c r="E44" s="430"/>
      <c r="F44" s="200">
        <v>0</v>
      </c>
      <c r="G44" s="407" t="str">
        <f>MID(F43,SEARCH("(",F43)+1,3)</f>
        <v>USD</v>
      </c>
      <c r="H44" s="426"/>
      <c r="I44" s="113"/>
      <c r="J44" s="178" t="s">
        <v>339</v>
      </c>
      <c r="K44" s="76"/>
      <c r="L44" s="200">
        <v>0</v>
      </c>
      <c r="M44" s="100" t="str">
        <f>MID(L43,SEARCH("(",L43)+1,3)</f>
        <v>JPY</v>
      </c>
      <c r="N44" s="543" t="str">
        <f>IF(M33="★","国内に居住して","")</f>
        <v>国内に居住して</v>
      </c>
      <c r="P44" s="114"/>
    </row>
    <row r="45" spans="1:18" s="98" customFormat="1" ht="12.95" customHeight="1" thickBot="1">
      <c r="A45" s="174" t="s">
        <v>334</v>
      </c>
      <c r="B45" s="561" t="s">
        <v>273</v>
      </c>
      <c r="C45" s="562"/>
      <c r="D45" s="562"/>
      <c r="E45" s="430"/>
      <c r="F45" s="73" t="s">
        <v>785</v>
      </c>
      <c r="G45" s="75"/>
      <c r="H45" s="425"/>
      <c r="I45" s="113"/>
      <c r="J45" s="178" t="s">
        <v>340</v>
      </c>
      <c r="K45" s="76"/>
      <c r="L45" s="73" t="s">
        <v>49</v>
      </c>
      <c r="M45" s="102"/>
      <c r="N45" s="543" t="str">
        <f>IF(M33="★","いた者は課税証","")</f>
        <v>いた者は課税証</v>
      </c>
      <c r="P45" s="114"/>
    </row>
    <row r="46" spans="1:18" s="98" customFormat="1" ht="12.95" customHeight="1" thickBot="1">
      <c r="A46" s="174" t="s">
        <v>335</v>
      </c>
      <c r="B46" s="563" t="s">
        <v>275</v>
      </c>
      <c r="C46" s="564"/>
      <c r="D46" s="564"/>
      <c r="E46" s="62"/>
      <c r="F46" s="200">
        <v>0</v>
      </c>
      <c r="G46" s="407" t="str">
        <f>MID(F45,SEARCH("(",F45)+1,3)</f>
        <v>USD</v>
      </c>
      <c r="H46" s="426"/>
      <c r="I46" s="113"/>
      <c r="J46" s="178" t="s">
        <v>341</v>
      </c>
      <c r="K46" s="76"/>
      <c r="L46" s="200">
        <v>0</v>
      </c>
      <c r="M46" s="120" t="str">
        <f>MID(L45,SEARCH("(",L45)+1,3)</f>
        <v>JPY</v>
      </c>
      <c r="N46" s="543" t="str">
        <f>IF(M33="★","明書の扶養親族","")</f>
        <v>明書の扶養親族</v>
      </c>
      <c r="P46" s="114"/>
    </row>
    <row r="47" spans="1:18" s="98" customFormat="1" ht="12.95" customHeight="1" thickBot="1">
      <c r="A47" s="174" t="s">
        <v>336</v>
      </c>
      <c r="B47" s="148" t="s">
        <v>303</v>
      </c>
      <c r="C47" s="369"/>
      <c r="D47" s="369"/>
      <c r="E47" s="433"/>
      <c r="F47" s="73" t="s">
        <v>785</v>
      </c>
      <c r="G47" s="75"/>
      <c r="H47" s="425"/>
      <c r="I47" s="113"/>
      <c r="J47" s="178" t="s">
        <v>342</v>
      </c>
      <c r="K47" s="76"/>
      <c r="L47" s="73" t="s">
        <v>49</v>
      </c>
      <c r="M47" s="121"/>
      <c r="N47" s="543" t="str">
        <f>IF(M33="★","の数を入力して","")</f>
        <v>の数を入力して</v>
      </c>
      <c r="P47" s="114"/>
    </row>
    <row r="48" spans="1:18" s="98" customFormat="1" ht="12.95" customHeight="1" thickBot="1">
      <c r="A48" s="175" t="s">
        <v>337</v>
      </c>
      <c r="B48" s="432" t="s">
        <v>304</v>
      </c>
      <c r="C48" s="436"/>
      <c r="D48" s="437"/>
      <c r="E48" s="438"/>
      <c r="F48" s="200">
        <v>0</v>
      </c>
      <c r="G48" s="417" t="str">
        <f>MID(F47,SEARCH("(",F47)+1,3)</f>
        <v>USD</v>
      </c>
      <c r="H48" s="427"/>
      <c r="I48" s="419"/>
      <c r="J48" s="180" t="s">
        <v>343</v>
      </c>
      <c r="K48" s="118"/>
      <c r="L48" s="200">
        <v>0</v>
      </c>
      <c r="M48" s="108" t="str">
        <f>MID(L47,SEARCH("(",L47)+1,3)</f>
        <v>JPY</v>
      </c>
      <c r="N48" s="543" t="str">
        <f>IF(M33="★","ください(下欄)。","")</f>
        <v>ください(下欄)。</v>
      </c>
      <c r="P48" s="114"/>
    </row>
    <row r="49" spans="1:16" s="98" customFormat="1" ht="3" customHeight="1" thickTop="1" thickBot="1">
      <c r="A49" s="169"/>
      <c r="B49" s="78"/>
      <c r="C49" s="78"/>
      <c r="D49" s="78"/>
      <c r="E49" s="84"/>
      <c r="F49" s="78"/>
      <c r="G49" s="119"/>
      <c r="H49" s="78"/>
      <c r="I49" s="119"/>
      <c r="J49" s="169"/>
      <c r="K49" s="84"/>
      <c r="L49" s="78"/>
      <c r="M49" s="78"/>
      <c r="N49" s="78"/>
      <c r="O49" s="78"/>
      <c r="P49" s="114"/>
    </row>
    <row r="50" spans="1:16" s="98" customFormat="1" ht="15.6" customHeight="1" thickTop="1" thickBot="1">
      <c r="A50" s="410" t="str">
        <f>IF(計算シート!C67=0,"生計維持者の","")&amp;"扶養の情報（本人や他の生計維持者、配偶者は含めないでください）"</f>
        <v>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row>
    <row r="51" spans="1:16" s="98" customFormat="1" ht="12.95" customHeight="1" thickBot="1">
      <c r="A51" s="174" t="s">
        <v>344</v>
      </c>
      <c r="B51" s="559" t="s">
        <v>0</v>
      </c>
      <c r="C51" s="560"/>
      <c r="D51" s="560"/>
      <c r="E51" s="430"/>
      <c r="F51" s="58">
        <v>0</v>
      </c>
      <c r="G51" s="412" t="s">
        <v>48</v>
      </c>
      <c r="H51" s="486" t="str">
        <f>"うち"&amp;IF(計算シート!C67=0,"生計維","申込者")</f>
        <v>うち申込者</v>
      </c>
      <c r="I51" s="113"/>
      <c r="J51" s="176" t="s">
        <v>353</v>
      </c>
      <c r="K51" s="76"/>
      <c r="L51" s="58">
        <v>0</v>
      </c>
      <c r="M51" s="412" t="s">
        <v>48</v>
      </c>
      <c r="N51" s="544" t="str">
        <f>"うち★の"</f>
        <v>うち★の</v>
      </c>
      <c r="O51" s="102"/>
      <c r="P51" s="114"/>
    </row>
    <row r="52" spans="1:16" s="98" customFormat="1" ht="12.95" customHeight="1" thickBot="1">
      <c r="A52" s="174" t="s">
        <v>345</v>
      </c>
      <c r="B52" s="559" t="s">
        <v>1</v>
      </c>
      <c r="C52" s="560"/>
      <c r="D52" s="560"/>
      <c r="E52" s="430"/>
      <c r="F52" s="58">
        <v>0</v>
      </c>
      <c r="G52" s="412" t="s">
        <v>48</v>
      </c>
      <c r="H52" s="487" t="str">
        <f>IF(計算シート!C67=0,"持者１より","本人より")</f>
        <v>本人より</v>
      </c>
      <c r="I52" s="113"/>
      <c r="J52" s="178" t="s">
        <v>354</v>
      </c>
      <c r="K52" s="76"/>
      <c r="L52" s="58">
        <v>0</v>
      </c>
      <c r="M52" s="412" t="s">
        <v>48</v>
      </c>
      <c r="N52" s="445" t="str">
        <f>"者より"</f>
        <v>者より</v>
      </c>
      <c r="O52" s="102"/>
      <c r="P52" s="114"/>
    </row>
    <row r="53" spans="1:16" s="98" customFormat="1" ht="12.95" customHeight="1" thickBot="1">
      <c r="A53" s="174" t="s">
        <v>346</v>
      </c>
      <c r="B53" s="559" t="s">
        <v>2</v>
      </c>
      <c r="C53" s="560"/>
      <c r="D53" s="560"/>
      <c r="E53" s="430"/>
      <c r="F53" s="58">
        <v>0</v>
      </c>
      <c r="G53" s="412" t="s">
        <v>48</v>
      </c>
      <c r="H53" s="487" t="s">
        <v>937</v>
      </c>
      <c r="I53" s="113"/>
      <c r="J53" s="178" t="s">
        <v>355</v>
      </c>
      <c r="K53" s="76"/>
      <c r="L53" s="58">
        <v>0</v>
      </c>
      <c r="M53" s="446" t="s">
        <v>48</v>
      </c>
      <c r="N53" s="445" t="s">
        <v>937</v>
      </c>
      <c r="O53" s="102"/>
      <c r="P53" s="114"/>
    </row>
    <row r="54" spans="1:16" s="98" customFormat="1" ht="12.95" customHeight="1" thickBot="1">
      <c r="A54" s="174" t="s">
        <v>347</v>
      </c>
      <c r="B54" s="559" t="s">
        <v>3</v>
      </c>
      <c r="C54" s="560"/>
      <c r="D54" s="560"/>
      <c r="E54" s="430"/>
      <c r="F54" s="58">
        <v>0</v>
      </c>
      <c r="G54" s="416" t="s">
        <v>48</v>
      </c>
      <c r="H54" s="58">
        <v>0</v>
      </c>
      <c r="I54" s="414" t="s">
        <v>48</v>
      </c>
      <c r="J54" s="178" t="s">
        <v>356</v>
      </c>
      <c r="K54" s="76"/>
      <c r="L54" s="58">
        <v>0</v>
      </c>
      <c r="M54" s="447" t="s">
        <v>48</v>
      </c>
      <c r="N54" s="58">
        <v>0</v>
      </c>
      <c r="O54" s="448" t="s">
        <v>48</v>
      </c>
      <c r="P54" s="114"/>
    </row>
    <row r="55" spans="1:16" s="98" customFormat="1" ht="12.95" customHeight="1" thickBot="1">
      <c r="A55" s="174" t="s">
        <v>348</v>
      </c>
      <c r="B55" s="559" t="s">
        <v>4</v>
      </c>
      <c r="C55" s="560"/>
      <c r="D55" s="560"/>
      <c r="E55" s="430"/>
      <c r="F55" s="58">
        <v>0</v>
      </c>
      <c r="G55" s="416" t="s">
        <v>48</v>
      </c>
      <c r="H55" s="551" t="s">
        <v>1082</v>
      </c>
      <c r="I55" s="552"/>
      <c r="J55" s="178" t="s">
        <v>357</v>
      </c>
      <c r="K55" s="76"/>
      <c r="L55" s="58">
        <v>0</v>
      </c>
      <c r="M55" s="407" t="s">
        <v>48</v>
      </c>
      <c r="N55" s="551" t="str">
        <f>IF(F36="はい","(項番41の内数)","")</f>
        <v>(項番41の内数)</v>
      </c>
      <c r="O55" s="553"/>
      <c r="P55" s="114"/>
    </row>
    <row r="56" spans="1:16" s="98" customFormat="1" ht="12.95" customHeight="1" thickBot="1">
      <c r="A56" s="174" t="s">
        <v>349</v>
      </c>
      <c r="B56" s="559" t="s">
        <v>5</v>
      </c>
      <c r="C56" s="560"/>
      <c r="D56" s="560"/>
      <c r="E56" s="430"/>
      <c r="F56" s="58">
        <v>0</v>
      </c>
      <c r="G56" s="418" t="s">
        <v>48</v>
      </c>
      <c r="H56" s="115"/>
      <c r="I56" s="113"/>
      <c r="J56" s="178" t="s">
        <v>358</v>
      </c>
      <c r="K56" s="76"/>
      <c r="L56" s="58">
        <v>0</v>
      </c>
      <c r="M56" s="407" t="s">
        <v>48</v>
      </c>
      <c r="N56" s="115"/>
      <c r="O56" s="102"/>
      <c r="P56" s="114"/>
    </row>
    <row r="57" spans="1:16" s="98" customFormat="1" ht="12.95" customHeight="1" thickBot="1">
      <c r="A57" s="174" t="s">
        <v>350</v>
      </c>
      <c r="B57" s="559" t="s">
        <v>299</v>
      </c>
      <c r="C57" s="560"/>
      <c r="D57" s="560"/>
      <c r="E57" s="430"/>
      <c r="F57" s="58">
        <v>0</v>
      </c>
      <c r="G57" s="418" t="s">
        <v>48</v>
      </c>
      <c r="H57" s="115"/>
      <c r="I57" s="113"/>
      <c r="J57" s="178" t="s">
        <v>359</v>
      </c>
      <c r="K57" s="76"/>
      <c r="L57" s="58">
        <v>0</v>
      </c>
      <c r="M57" s="407" t="s">
        <v>48</v>
      </c>
      <c r="N57" s="115"/>
      <c r="O57" s="102"/>
      <c r="P57" s="114"/>
    </row>
    <row r="58" spans="1:16" s="98" customFormat="1" ht="12.95" customHeight="1" thickBot="1">
      <c r="A58" s="174" t="s">
        <v>351</v>
      </c>
      <c r="B58" s="559" t="s">
        <v>300</v>
      </c>
      <c r="C58" s="560"/>
      <c r="D58" s="560"/>
      <c r="E58" s="435"/>
      <c r="F58" s="58">
        <v>0</v>
      </c>
      <c r="G58" s="418" t="s">
        <v>48</v>
      </c>
      <c r="H58" s="115"/>
      <c r="I58" s="113"/>
      <c r="J58" s="178" t="s">
        <v>360</v>
      </c>
      <c r="K58" s="76"/>
      <c r="L58" s="58">
        <v>0</v>
      </c>
      <c r="M58" s="407" t="s">
        <v>48</v>
      </c>
      <c r="N58" s="115"/>
      <c r="O58" s="102"/>
      <c r="P58" s="114"/>
    </row>
    <row r="59" spans="1:16" s="98" customFormat="1" ht="12.95" customHeight="1" thickBot="1">
      <c r="A59" s="175" t="s">
        <v>352</v>
      </c>
      <c r="B59" s="554" t="s">
        <v>301</v>
      </c>
      <c r="C59" s="555"/>
      <c r="D59" s="555"/>
      <c r="E59" s="82"/>
      <c r="F59" s="58">
        <v>0</v>
      </c>
      <c r="G59" s="417" t="s">
        <v>48</v>
      </c>
      <c r="H59" s="420"/>
      <c r="I59" s="419"/>
      <c r="J59" s="181" t="s">
        <v>361</v>
      </c>
      <c r="K59" s="118"/>
      <c r="L59" s="58">
        <v>0</v>
      </c>
      <c r="M59" s="417" t="s">
        <v>48</v>
      </c>
      <c r="N59" s="420"/>
      <c r="O59" s="127"/>
      <c r="P59" s="114"/>
    </row>
    <row r="60" spans="1:16" ht="3" customHeight="1" thickTop="1">
      <c r="E60" s="65"/>
      <c r="F60" s="66"/>
      <c r="G60" s="67"/>
      <c r="H60" s="66"/>
      <c r="I60" s="67"/>
      <c r="K60" s="65"/>
      <c r="L60" s="68"/>
      <c r="M60" s="68"/>
      <c r="N60" s="68"/>
      <c r="O60" s="68"/>
      <c r="P60" s="67"/>
    </row>
    <row r="61" spans="1:16" ht="3.75" customHeight="1"/>
    <row r="62" spans="1:16">
      <c r="B62" t="s">
        <v>307</v>
      </c>
    </row>
    <row r="63" spans="1:16">
      <c r="B63" s="9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94"/>
      <c r="D63" s="94"/>
      <c r="E63" s="94"/>
      <c r="F63" s="94"/>
    </row>
    <row r="64" spans="1:16">
      <c r="B64" s="9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95"/>
      <c r="D64" s="95"/>
      <c r="E64" s="95"/>
      <c r="F64" s="95"/>
    </row>
    <row r="65" spans="1:18">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row>
    <row r="66" spans="1:18">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row>
    <row r="67" spans="1:18">
      <c r="B67" s="149" t="s">
        <v>410</v>
      </c>
      <c r="C67" s="149"/>
      <c r="D67" s="149"/>
      <c r="E67" s="149"/>
      <c r="F67" s="149"/>
      <c r="G67" s="150"/>
      <c r="H67" s="150"/>
      <c r="I67" s="150"/>
      <c r="J67" s="150"/>
      <c r="K67" s="150"/>
      <c r="L67" s="150"/>
      <c r="M67" s="150"/>
      <c r="N67" s="150"/>
    </row>
    <row r="68" spans="1:18" ht="10.5" customHeight="1">
      <c r="A68" s="57"/>
      <c r="B68" s="196" t="s">
        <v>302</v>
      </c>
      <c r="C68" s="196"/>
      <c r="D68" s="196"/>
      <c r="E68" s="196"/>
      <c r="F68" s="196"/>
      <c r="G68" s="57"/>
      <c r="H68" s="57"/>
      <c r="I68" s="57"/>
      <c r="J68" s="57"/>
      <c r="K68" s="57"/>
      <c r="L68" s="57"/>
      <c r="M68" s="57"/>
      <c r="N68" s="57"/>
      <c r="O68" s="57"/>
      <c r="P68" s="57"/>
      <c r="Q68" s="57"/>
    </row>
    <row r="69" spans="1:18" ht="13.5" customHeight="1">
      <c r="A69" s="57"/>
      <c r="B69"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7"/>
    </row>
    <row r="70" spans="1:18" ht="13.5" customHeight="1">
      <c r="A70" s="57"/>
      <c r="B70"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7"/>
    </row>
    <row r="71" spans="1:18" ht="13.5" customHeight="1">
      <c r="A71" s="139"/>
      <c r="B71" s="197" t="s">
        <v>411</v>
      </c>
      <c r="C71" s="197"/>
      <c r="D71" s="197"/>
      <c r="E71" s="197"/>
      <c r="F71" s="197"/>
      <c r="G71" s="139"/>
      <c r="H71" s="139"/>
      <c r="I71" s="139"/>
      <c r="J71" s="139"/>
      <c r="K71" s="139"/>
      <c r="L71" s="139"/>
      <c r="M71" s="139"/>
      <c r="N71" s="139"/>
      <c r="O71" s="139"/>
      <c r="P71" s="139"/>
      <c r="Q71" s="139"/>
    </row>
    <row r="72" spans="1:18">
      <c r="B72" s="92" t="s">
        <v>298</v>
      </c>
      <c r="C72" s="92"/>
      <c r="D72" s="92"/>
      <c r="E72" s="92"/>
      <c r="F72" s="531"/>
    </row>
    <row r="73" spans="1:18" ht="10.5" customHeight="1">
      <c r="A73" s="91"/>
      <c r="B73" s="129" t="s">
        <v>1090</v>
      </c>
      <c r="C73" s="499">
        <f>計算シート!B34</f>
        <v>0</v>
      </c>
      <c r="D73" s="500"/>
      <c r="E73" s="528"/>
      <c r="F73" s="530"/>
      <c r="G73" s="497" t="s">
        <v>943</v>
      </c>
      <c r="H73" s="503">
        <f>IF(計算シート!C62=0,"-",計算シート!C64)</f>
        <v>0</v>
      </c>
      <c r="I73" s="549" t="s">
        <v>945</v>
      </c>
      <c r="J73" s="550"/>
      <c r="K73" s="459">
        <f>IF(計算シート!C62=0,"-",計算シート!C66)</f>
        <v>0</v>
      </c>
      <c r="L73" s="489"/>
      <c r="M73" s="489"/>
      <c r="N73" s="489"/>
      <c r="O73" s="489"/>
    </row>
    <row r="74" spans="1:18" ht="10.5" customHeight="1">
      <c r="A74" s="93"/>
      <c r="B74" s="133" t="s">
        <v>1091</v>
      </c>
      <c r="C74" s="501">
        <f>計算シート!C60</f>
        <v>0</v>
      </c>
      <c r="D74" s="502">
        <f>計算シート!D60</f>
        <v>0</v>
      </c>
      <c r="E74" s="529"/>
      <c r="F74" s="532"/>
      <c r="G74" s="498" t="s">
        <v>944</v>
      </c>
      <c r="H74" s="504">
        <f>計算シート!C65</f>
        <v>0</v>
      </c>
      <c r="I74" s="196"/>
      <c r="J74" s="196"/>
      <c r="K74" s="196"/>
      <c r="L74" s="452"/>
      <c r="M74" s="452"/>
      <c r="N74" s="452"/>
      <c r="O74" s="196"/>
      <c r="P74" s="57"/>
    </row>
    <row r="75" spans="1:18" ht="10.5" customHeight="1">
      <c r="B75" s="525" t="s">
        <v>1092</v>
      </c>
      <c r="C75" s="526">
        <f>IF(計算シート!C62=0,計算シート!C41,計算シート!C61)</f>
        <v>0</v>
      </c>
      <c r="D75" s="527">
        <f>IF(計算シート!C62=0,計算シート!D41,計算シート!D61)</f>
        <v>0</v>
      </c>
      <c r="E75" s="534"/>
      <c r="F75" s="454"/>
      <c r="G75" s="533"/>
      <c r="I75" s="453"/>
      <c r="J75" s="453"/>
      <c r="K75" s="453"/>
      <c r="L75" s="57"/>
      <c r="M75" s="454"/>
      <c r="N75" s="454"/>
      <c r="O75" s="453"/>
      <c r="P75" s="57"/>
      <c r="Q75" s="451"/>
      <c r="R75" s="98"/>
    </row>
    <row r="76" spans="1:18" ht="10.5" hidden="1" customHeight="1">
      <c r="B76" s="157" t="s">
        <v>393</v>
      </c>
      <c r="C76" s="159" t="str">
        <f>IF(計算シート!C62=0,計算シート!C42,"-")</f>
        <v>-</v>
      </c>
      <c r="D76" s="488" t="str">
        <f>IF(計算シート!C62=0,計算シート!D42,"-")</f>
        <v>-</v>
      </c>
      <c r="E76" s="158"/>
      <c r="F76" s="159"/>
      <c r="G76" s="57"/>
      <c r="H76" s="159"/>
      <c r="I76" s="453"/>
      <c r="J76" s="453"/>
      <c r="K76" s="453"/>
      <c r="L76" s="57"/>
      <c r="M76" s="454"/>
      <c r="N76" s="454"/>
      <c r="O76" s="453"/>
      <c r="Q76" s="57"/>
      <c r="R76" s="98" t="s">
        <v>1069</v>
      </c>
    </row>
  </sheetData>
  <sheetProtection password="FE18" sheet="1" objects="1" scenarios="1"/>
  <protectedRanges>
    <protectedRange sqref="D10 D11:E18 F24:F31 F35:F40 H11 F43:F48 F51:F59 L8:M8 N54 H54 L51:L59 L43:L48 I13:L13 L10:N10 I15:I17 L35 L39 J11:N11" name="範囲1"/>
  </protectedRanges>
  <mergeCells count="56">
    <mergeCell ref="B25:D25"/>
    <mergeCell ref="B26:D26"/>
    <mergeCell ref="B27:D27"/>
    <mergeCell ref="B28:D28"/>
    <mergeCell ref="B29:D29"/>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39:D39"/>
    <mergeCell ref="B40:D40"/>
    <mergeCell ref="B43:D43"/>
    <mergeCell ref="B44:D44"/>
    <mergeCell ref="B30:D30"/>
    <mergeCell ref="B31:D31"/>
    <mergeCell ref="B35:D35"/>
    <mergeCell ref="B36:D36"/>
    <mergeCell ref="B37:D37"/>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L10:N10"/>
    <mergeCell ref="J26:M26"/>
    <mergeCell ref="J27:M27"/>
    <mergeCell ref="G17:H17"/>
    <mergeCell ref="I73:J73"/>
    <mergeCell ref="J28:M28"/>
    <mergeCell ref="J29:M29"/>
    <mergeCell ref="J30:M30"/>
    <mergeCell ref="H55:I55"/>
    <mergeCell ref="N55:O55"/>
  </mergeCells>
  <phoneticPr fontId="2"/>
  <conditionalFormatting sqref="B40 H40:I40 E40:F40 L40">
    <cfRule type="expression" dxfId="92" priority="50">
      <formula>$F$36="はい"</formula>
    </cfRule>
  </conditionalFormatting>
  <conditionalFormatting sqref="K51:L59 H37:I38 E37:F38 B37:B38 K34:M40 K42:M48">
    <cfRule type="expression" dxfId="91" priority="54">
      <formula>$L$33=""</formula>
    </cfRule>
  </conditionalFormatting>
  <conditionalFormatting sqref="L74:O74 M75:O76 F75:F76">
    <cfRule type="expression" dxfId="90" priority="57">
      <formula>OR($F$36="いいえ",$F$37="いいえ")</formula>
    </cfRule>
  </conditionalFormatting>
  <conditionalFormatting sqref="B28:B31 E28:G31">
    <cfRule type="expression" dxfId="89" priority="58">
      <formula>$F$27="いいえ"</formula>
    </cfRule>
  </conditionalFormatting>
  <conditionalFormatting sqref="B26 E26:F26">
    <cfRule type="expression" dxfId="88" priority="61">
      <formula>$F$25&lt;&gt;"特別の障がい者である"</formula>
    </cfRule>
  </conditionalFormatting>
  <conditionalFormatting sqref="G40">
    <cfRule type="expression" dxfId="87" priority="15">
      <formula>$F$36="はい"</formula>
    </cfRule>
  </conditionalFormatting>
  <conditionalFormatting sqref="G37:G38">
    <cfRule type="expression" dxfId="86" priority="16">
      <formula>$F$36="いいえ"</formula>
    </cfRule>
  </conditionalFormatting>
  <conditionalFormatting sqref="M51:M59">
    <cfRule type="expression" dxfId="85" priority="10">
      <formula>$F$36="いいえ"</formula>
    </cfRule>
  </conditionalFormatting>
  <conditionalFormatting sqref="N51:O54">
    <cfRule type="expression" dxfId="84" priority="9">
      <formula>$F$36="いいえ"</formula>
    </cfRule>
  </conditionalFormatting>
  <conditionalFormatting sqref="B17:K17">
    <cfRule type="expression" dxfId="83" priority="7">
      <formula>$I$15="その他"</formula>
    </cfRule>
  </conditionalFormatting>
  <dataValidations count="7">
    <dataValidation type="whole" allowBlank="1" showInputMessage="1" showErrorMessage="1" sqref="H56:H59 F51:F59 L51:L59 H54 N54 N56:N59">
      <formula1>0</formula1>
      <formula2>99</formula2>
    </dataValidation>
    <dataValidation type="decimal" allowBlank="1" showInputMessage="1" showErrorMessage="1" sqref="H46 F44 H44 F46 L46 L44">
      <formula1>0</formula1>
      <formula2>999999999999999000000</formula2>
    </dataValidation>
    <dataValidation type="date" allowBlank="1" showInputMessage="1" showErrorMessage="1" sqref="H35 F35 L35">
      <formula1>1</formula1>
      <formula2>73051</formula2>
    </dataValidation>
    <dataValidation type="decimal" allowBlank="1" showInputMessage="1" showErrorMessage="1" sqref="H48 F31 L48 F48">
      <formula1>-999999999999999000000</formula1>
      <formula2>999999999999999000000</formula2>
    </dataValidation>
    <dataValidation type="date" allowBlank="1" showInputMessage="1" showErrorMessage="1" sqref="N13:N14 I13:I14 L8">
      <formula1>1</formula1>
      <formula2>401404</formula2>
    </dataValidation>
    <dataValidation type="whole" allowBlank="1" showInputMessage="1" showErrorMessage="1" sqref="D10:E10">
      <formula1>2000</formula1>
      <formula2>9999</formula2>
    </dataValidation>
    <dataValidation type="decimal" allowBlank="1" showInputMessage="1" showErrorMessage="1" sqref="F29">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 xmlns:xm="http://schemas.microsoft.com/office/excel/2006/main">
          <x14:cfRule type="expression" priority="8" id="{9AA7258F-9E79-447C-B5B9-279C57BEB1F1}">
            <xm:f>計算シート!F67=1</xm:f>
            <x14:dxf>
              <border>
                <bottom/>
                <vertical/>
                <horizontal/>
              </border>
            </x14:dxf>
          </x14:cfRule>
          <xm:sqref>I15:I16</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m:sqref>G17:G18</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94" id="{16233E96-A2DD-4726-AB21-E231E6DF204E}">
            <xm:f>計算シート!C69=1</xm:f>
            <x14:dxf>
              <border>
                <bottom/>
                <vertical/>
                <horizontal/>
              </border>
            </x14:dxf>
          </x14:cfRule>
          <xm:sqref>I17:I18</xm:sqref>
        </x14:conditionalFormatting>
        <x14:conditionalFormatting xmlns:xm="http://schemas.microsoft.com/office/excel/2006/main">
          <x14:cfRule type="expression" priority="109" id="{9AA7258F-9E79-447C-B5B9-279C57BEB1F1}">
            <xm:f>計算シート!F68=1</xm:f>
            <x14:dxf>
              <border>
                <bottom/>
                <vertical/>
                <horizontal/>
              </border>
            </x14:dxf>
          </x14:cfRule>
          <xm:sqref>I17:I18</xm:sqref>
        </x14:conditionalFormatting>
        <x14:conditionalFormatting xmlns:xm="http://schemas.microsoft.com/office/excel/2006/main">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計算シート!$F$5:$F$7</xm:f>
          </x14:formula1>
          <xm:sqref>F39 F25 L39</xm:sqref>
        </x14:dataValidation>
        <x14:dataValidation type="list" allowBlank="1" showInputMessage="1" showErrorMessage="1">
          <x14:formula1>
            <xm:f>前年レート!$N$12:$N$74</xm:f>
          </x14:formula1>
          <xm:sqref>L47 F43 F47 F30 L43 F28 L45 F45</xm:sqref>
        </x14:dataValidation>
        <x14:dataValidation type="list" allowBlank="1" showInputMessage="1" showErrorMessage="1">
          <x14:formula1>
            <xm:f>計算シート!$F$15:$F$22</xm:f>
          </x14:formula1>
          <xm:sqref>L10</xm:sqref>
        </x14:dataValidation>
        <x14:dataValidation type="list" allowBlank="1" showInputMessage="1" showErrorMessage="1">
          <x14:formula1>
            <xm:f>計算シート!$F$3:$F$4</xm:f>
          </x14:formula1>
          <xm:sqref>F26:F27 F36 F38</xm:sqref>
        </x14:dataValidation>
        <x14:dataValidation type="list" allowBlank="1" showInputMessage="1" showErrorMessage="1">
          <x14:formula1>
            <xm:f>計算シート!$F$8:$F$10</xm:f>
          </x14:formula1>
          <xm:sqref>F40</xm:sqref>
        </x14:dataValidation>
        <x14:dataValidation type="list" allowBlank="1" showInputMessage="1" showErrorMessage="1">
          <x14:formula1>
            <xm:f>計算シート!$F$11:$F$13</xm:f>
          </x14:formula1>
          <xm:sqref>F24</xm:sqref>
        </x14:dataValidation>
        <x14:dataValidation type="list" allowBlank="1" showInputMessage="1" showErrorMessage="1">
          <x14:formula1>
            <xm:f>計算シート!$F$24:$F$25</xm:f>
          </x14:formula1>
          <xm:sqref>I17:J17</xm:sqref>
        </x14:dataValidation>
        <x14:dataValidation type="list" allowBlank="1" showInputMessage="1" showErrorMessage="1">
          <x14:formula1>
            <xm:f>計算シート!$F$24:$F$29</xm:f>
          </x14:formula1>
          <xm:sqref>I16:J16</xm:sqref>
        </x14:dataValidation>
        <x14:dataValidation type="list" allowBlank="1" showInputMessage="1" showErrorMessage="1">
          <x14:formula1>
            <xm:f>計算シート!$F$24:$F$29</xm:f>
          </x14:formula1>
          <xm:sqref>I18:J18</xm:sqref>
        </x14:dataValidation>
        <x14:dataValidation type="list" allowBlank="1" showInputMessage="1" showErrorMessage="1">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zoomScaleNormal="100" workbookViewId="0">
      <selection activeCell="B7" sqref="B7"/>
    </sheetView>
  </sheetViews>
  <sheetFormatPr defaultRowHeight="13.5"/>
  <cols>
    <col min="2" max="2" width="50.25" bestFit="1" customWidth="1"/>
    <col min="3" max="3" width="9" customWidth="1"/>
    <col min="4" max="4" width="45.75" customWidth="1"/>
  </cols>
  <sheetData>
    <row r="1" spans="1:4">
      <c r="A1" s="50" t="s">
        <v>170</v>
      </c>
      <c r="B1" s="50" t="s">
        <v>50</v>
      </c>
      <c r="C1" s="50" t="s">
        <v>51</v>
      </c>
      <c r="D1" s="50" t="s">
        <v>52</v>
      </c>
    </row>
    <row r="2" spans="1:4">
      <c r="A2" s="50">
        <v>1</v>
      </c>
      <c r="B2" s="52">
        <v>0</v>
      </c>
      <c r="C2" s="50" t="s">
        <v>78</v>
      </c>
      <c r="D2" s="50" t="s">
        <v>79</v>
      </c>
    </row>
    <row r="3" spans="1:4">
      <c r="A3" s="50">
        <v>2</v>
      </c>
      <c r="B3" s="52" t="s">
        <v>80</v>
      </c>
      <c r="C3" s="50" t="s">
        <v>78</v>
      </c>
      <c r="D3" s="50" t="s">
        <v>81</v>
      </c>
    </row>
    <row r="4" spans="1:4">
      <c r="A4" s="50">
        <v>3</v>
      </c>
      <c r="B4" s="50">
        <v>969000</v>
      </c>
      <c r="C4" s="50" t="s">
        <v>78</v>
      </c>
      <c r="D4" s="50" t="s">
        <v>82</v>
      </c>
    </row>
    <row r="5" spans="1:4">
      <c r="A5" s="50">
        <v>4</v>
      </c>
      <c r="B5" s="50">
        <v>970000</v>
      </c>
      <c r="C5" s="50" t="s">
        <v>78</v>
      </c>
      <c r="D5" s="50" t="s">
        <v>83</v>
      </c>
    </row>
    <row r="6" spans="1:4">
      <c r="A6" s="50">
        <v>5</v>
      </c>
      <c r="B6" s="50">
        <v>972000</v>
      </c>
      <c r="C6" s="50" t="s">
        <v>78</v>
      </c>
      <c r="D6" s="50" t="s">
        <v>84</v>
      </c>
    </row>
    <row r="7" spans="1:4">
      <c r="A7" s="50">
        <v>6</v>
      </c>
      <c r="B7" s="50">
        <v>974000</v>
      </c>
      <c r="C7" s="50" t="s">
        <v>78</v>
      </c>
      <c r="D7" s="50" t="s">
        <v>85</v>
      </c>
    </row>
    <row r="8" spans="1:4">
      <c r="A8" s="50">
        <v>7</v>
      </c>
      <c r="B8" s="52" t="s">
        <v>220</v>
      </c>
      <c r="C8" s="50" t="s">
        <v>78</v>
      </c>
      <c r="D8" s="50" t="s">
        <v>86</v>
      </c>
    </row>
    <row r="9" spans="1:4">
      <c r="A9" s="50">
        <v>8</v>
      </c>
      <c r="B9" s="52" t="s">
        <v>221</v>
      </c>
      <c r="C9" s="50" t="s">
        <v>78</v>
      </c>
      <c r="D9" s="50" t="s">
        <v>87</v>
      </c>
    </row>
    <row r="10" spans="1:4">
      <c r="A10" s="50">
        <v>9</v>
      </c>
      <c r="B10" s="52" t="s">
        <v>222</v>
      </c>
      <c r="C10" s="50" t="s">
        <v>78</v>
      </c>
      <c r="D10" s="50" t="s">
        <v>88</v>
      </c>
    </row>
    <row r="11" spans="1:4">
      <c r="A11" s="50">
        <v>10</v>
      </c>
      <c r="B11" s="52" t="s">
        <v>89</v>
      </c>
      <c r="C11" s="50" t="s">
        <v>78</v>
      </c>
      <c r="D11" s="50" t="s">
        <v>90</v>
      </c>
    </row>
    <row r="12" spans="1:4">
      <c r="A12" s="50">
        <v>11</v>
      </c>
      <c r="B12" s="52" t="s">
        <v>91</v>
      </c>
      <c r="C12" s="50" t="s">
        <v>78</v>
      </c>
      <c r="D12" s="50" t="s">
        <v>92</v>
      </c>
    </row>
    <row r="13" spans="1:4">
      <c r="A13" s="50">
        <v>1</v>
      </c>
      <c r="B13" s="49">
        <v>65</v>
      </c>
      <c r="C13" s="50" t="s">
        <v>53</v>
      </c>
      <c r="D13" s="53" t="s">
        <v>93</v>
      </c>
    </row>
    <row r="14" spans="1:4">
      <c r="A14" s="50">
        <v>2</v>
      </c>
      <c r="B14" s="49">
        <v>3300000</v>
      </c>
      <c r="C14" s="50" t="s">
        <v>53</v>
      </c>
      <c r="D14" s="53" t="s">
        <v>94</v>
      </c>
    </row>
    <row r="15" spans="1:4">
      <c r="A15" s="50">
        <v>3</v>
      </c>
      <c r="B15" s="49">
        <v>4100000</v>
      </c>
      <c r="C15" s="50" t="s">
        <v>53</v>
      </c>
      <c r="D15" s="53" t="s">
        <v>95</v>
      </c>
    </row>
    <row r="16" spans="1:4">
      <c r="A16" s="50">
        <v>4</v>
      </c>
      <c r="B16" s="49">
        <v>7700000</v>
      </c>
      <c r="C16" s="50" t="s">
        <v>53</v>
      </c>
      <c r="D16" s="53" t="s">
        <v>96</v>
      </c>
    </row>
    <row r="17" spans="1:4">
      <c r="A17" s="50">
        <v>5</v>
      </c>
      <c r="B17" s="49">
        <v>10000000</v>
      </c>
      <c r="C17" s="50" t="s">
        <v>53</v>
      </c>
      <c r="D17" s="53" t="s">
        <v>97</v>
      </c>
    </row>
    <row r="18" spans="1:4">
      <c r="A18" s="50">
        <v>6</v>
      </c>
      <c r="B18" s="49">
        <v>1300000</v>
      </c>
      <c r="C18" s="50" t="s">
        <v>53</v>
      </c>
      <c r="D18" s="53" t="s">
        <v>98</v>
      </c>
    </row>
    <row r="19" spans="1:4">
      <c r="A19" s="50">
        <v>7</v>
      </c>
      <c r="B19" s="49">
        <v>4100000</v>
      </c>
      <c r="C19" s="50" t="s">
        <v>53</v>
      </c>
      <c r="D19" s="53" t="s">
        <v>99</v>
      </c>
    </row>
    <row r="20" spans="1:4">
      <c r="A20" s="50">
        <v>8</v>
      </c>
      <c r="B20" s="49">
        <v>7700000</v>
      </c>
      <c r="C20" s="50" t="s">
        <v>53</v>
      </c>
      <c r="D20" s="53" t="s">
        <v>100</v>
      </c>
    </row>
    <row r="21" spans="1:4">
      <c r="A21" s="50">
        <v>9</v>
      </c>
      <c r="B21" s="49">
        <v>10000000</v>
      </c>
      <c r="C21" s="50" t="s">
        <v>53</v>
      </c>
      <c r="D21" s="53" t="s">
        <v>101</v>
      </c>
    </row>
    <row r="22" spans="1:4">
      <c r="A22" s="50">
        <v>10</v>
      </c>
      <c r="B22" s="49" t="s">
        <v>102</v>
      </c>
      <c r="C22" s="50" t="s">
        <v>53</v>
      </c>
      <c r="D22" s="53" t="s">
        <v>103</v>
      </c>
    </row>
    <row r="23" spans="1:4">
      <c r="A23" s="50">
        <v>11</v>
      </c>
      <c r="B23" s="49" t="s">
        <v>104</v>
      </c>
      <c r="C23" s="50" t="s">
        <v>53</v>
      </c>
      <c r="D23" s="53" t="s">
        <v>105</v>
      </c>
    </row>
    <row r="24" spans="1:4">
      <c r="A24" s="50">
        <v>12</v>
      </c>
      <c r="B24" s="49" t="s">
        <v>106</v>
      </c>
      <c r="C24" s="50" t="s">
        <v>53</v>
      </c>
      <c r="D24" s="53" t="s">
        <v>107</v>
      </c>
    </row>
    <row r="25" spans="1:4">
      <c r="A25" s="50">
        <v>13</v>
      </c>
      <c r="B25" s="49" t="s">
        <v>108</v>
      </c>
      <c r="C25" s="50" t="s">
        <v>53</v>
      </c>
      <c r="D25" s="53" t="s">
        <v>109</v>
      </c>
    </row>
    <row r="26" spans="1:4">
      <c r="A26" s="50">
        <v>14</v>
      </c>
      <c r="B26" s="49" t="s">
        <v>110</v>
      </c>
      <c r="C26" s="50" t="s">
        <v>53</v>
      </c>
      <c r="D26" s="53" t="s">
        <v>111</v>
      </c>
    </row>
    <row r="27" spans="1:4">
      <c r="A27" s="50">
        <v>15</v>
      </c>
      <c r="B27" s="49" t="s">
        <v>112</v>
      </c>
      <c r="C27" s="50" t="s">
        <v>53</v>
      </c>
      <c r="D27" s="53" t="s">
        <v>113</v>
      </c>
    </row>
    <row r="28" spans="1:4">
      <c r="A28" s="50">
        <v>16</v>
      </c>
      <c r="B28" s="49" t="s">
        <v>104</v>
      </c>
      <c r="C28" s="50" t="s">
        <v>53</v>
      </c>
      <c r="D28" s="53" t="s">
        <v>114</v>
      </c>
    </row>
    <row r="29" spans="1:4">
      <c r="A29" s="50">
        <v>17</v>
      </c>
      <c r="B29" s="49" t="s">
        <v>106</v>
      </c>
      <c r="C29" s="50" t="s">
        <v>53</v>
      </c>
      <c r="D29" s="53" t="s">
        <v>115</v>
      </c>
    </row>
    <row r="30" spans="1:4">
      <c r="A30" s="50">
        <v>18</v>
      </c>
      <c r="B30" s="49" t="s">
        <v>108</v>
      </c>
      <c r="C30" s="50" t="s">
        <v>53</v>
      </c>
      <c r="D30" s="53" t="s">
        <v>116</v>
      </c>
    </row>
    <row r="31" spans="1:4">
      <c r="A31" s="50">
        <v>19</v>
      </c>
      <c r="B31" s="49" t="s">
        <v>110</v>
      </c>
      <c r="C31" s="50" t="s">
        <v>53</v>
      </c>
      <c r="D31" s="53" t="s">
        <v>117</v>
      </c>
    </row>
    <row r="32" spans="1:4">
      <c r="B32" t="s">
        <v>223</v>
      </c>
    </row>
    <row r="33" spans="2:2">
      <c r="B33" s="56"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topLeftCell="A19" zoomScaleNormal="100" workbookViewId="0">
      <selection activeCell="C51" sqref="C51"/>
    </sheetView>
  </sheetViews>
  <sheetFormatPr defaultRowHeight="13.5"/>
  <cols>
    <col min="2" max="2" width="50.25" bestFit="1" customWidth="1"/>
    <col min="3" max="3" width="9" customWidth="1"/>
    <col min="4" max="4" width="45.75" customWidth="1"/>
  </cols>
  <sheetData>
    <row r="1" spans="1:4">
      <c r="A1" s="50" t="s">
        <v>170</v>
      </c>
      <c r="B1" s="50" t="s">
        <v>50</v>
      </c>
      <c r="C1" s="50" t="s">
        <v>51</v>
      </c>
      <c r="D1" s="50" t="s">
        <v>52</v>
      </c>
    </row>
    <row r="2" spans="1:4">
      <c r="A2" s="50">
        <v>1</v>
      </c>
      <c r="B2" s="52">
        <v>0</v>
      </c>
      <c r="C2" s="50" t="s">
        <v>78</v>
      </c>
      <c r="D2" s="205" t="s">
        <v>582</v>
      </c>
    </row>
    <row r="3" spans="1:4">
      <c r="A3" s="50">
        <v>2</v>
      </c>
      <c r="B3" s="364" t="s">
        <v>583</v>
      </c>
      <c r="C3" s="50" t="s">
        <v>78</v>
      </c>
      <c r="D3" s="50" t="s">
        <v>81</v>
      </c>
    </row>
    <row r="4" spans="1:4">
      <c r="A4" s="50">
        <v>3</v>
      </c>
      <c r="B4" s="205">
        <v>1069000</v>
      </c>
      <c r="C4" s="205" t="s">
        <v>53</v>
      </c>
      <c r="D4" s="50" t="s">
        <v>82</v>
      </c>
    </row>
    <row r="5" spans="1:4">
      <c r="A5" s="50">
        <v>4</v>
      </c>
      <c r="B5" s="205">
        <v>1070000</v>
      </c>
      <c r="C5" s="205" t="s">
        <v>53</v>
      </c>
      <c r="D5" s="50" t="s">
        <v>83</v>
      </c>
    </row>
    <row r="6" spans="1:4">
      <c r="A6" s="50">
        <v>5</v>
      </c>
      <c r="B6" s="205">
        <v>1072000</v>
      </c>
      <c r="C6" s="205" t="s">
        <v>53</v>
      </c>
      <c r="D6" s="50" t="s">
        <v>84</v>
      </c>
    </row>
    <row r="7" spans="1:4">
      <c r="A7" s="50">
        <v>6</v>
      </c>
      <c r="B7" s="205">
        <v>1074000</v>
      </c>
      <c r="C7" s="205" t="s">
        <v>53</v>
      </c>
      <c r="D7" s="50" t="s">
        <v>85</v>
      </c>
    </row>
    <row r="8" spans="1:4">
      <c r="A8" s="50">
        <v>7</v>
      </c>
      <c r="B8" s="364" t="s">
        <v>584</v>
      </c>
      <c r="C8" s="50" t="s">
        <v>78</v>
      </c>
      <c r="D8" s="50" t="s">
        <v>86</v>
      </c>
    </row>
    <row r="9" spans="1:4">
      <c r="A9" s="50">
        <v>8</v>
      </c>
      <c r="B9" s="364" t="s">
        <v>585</v>
      </c>
      <c r="C9" s="50" t="s">
        <v>78</v>
      </c>
      <c r="D9" s="50" t="s">
        <v>87</v>
      </c>
    </row>
    <row r="10" spans="1:4">
      <c r="A10" s="50">
        <v>9</v>
      </c>
      <c r="B10" s="364" t="s">
        <v>586</v>
      </c>
      <c r="C10" s="50" t="s">
        <v>78</v>
      </c>
      <c r="D10" s="50" t="s">
        <v>88</v>
      </c>
    </row>
    <row r="11" spans="1:4">
      <c r="A11" s="50">
        <v>10</v>
      </c>
      <c r="B11" s="364" t="s">
        <v>587</v>
      </c>
      <c r="C11" s="50" t="s">
        <v>78</v>
      </c>
      <c r="D11" s="205" t="s">
        <v>588</v>
      </c>
    </row>
    <row r="12" spans="1:4">
      <c r="A12" s="50">
        <v>11</v>
      </c>
      <c r="B12" s="364" t="s">
        <v>589</v>
      </c>
      <c r="C12" s="50" t="s">
        <v>78</v>
      </c>
      <c r="D12" s="205" t="s">
        <v>590</v>
      </c>
    </row>
    <row r="13" spans="1:4">
      <c r="A13" s="205">
        <v>12</v>
      </c>
      <c r="B13" s="364">
        <v>550000</v>
      </c>
      <c r="C13" s="205" t="s">
        <v>53</v>
      </c>
      <c r="D13" s="205" t="s">
        <v>591</v>
      </c>
    </row>
    <row r="14" spans="1:4">
      <c r="A14" s="205">
        <v>13</v>
      </c>
      <c r="B14" s="364">
        <v>-100000</v>
      </c>
      <c r="C14" s="205" t="s">
        <v>53</v>
      </c>
      <c r="D14" s="205" t="s">
        <v>592</v>
      </c>
    </row>
    <row r="15" spans="1:4">
      <c r="A15" s="205">
        <v>14</v>
      </c>
      <c r="B15" s="364">
        <v>80000</v>
      </c>
      <c r="C15" s="205" t="s">
        <v>53</v>
      </c>
      <c r="D15" s="205" t="s">
        <v>593</v>
      </c>
    </row>
    <row r="16" spans="1:4">
      <c r="A16" s="205">
        <v>15</v>
      </c>
      <c r="B16" s="364">
        <v>440000</v>
      </c>
      <c r="C16" s="205" t="s">
        <v>53</v>
      </c>
      <c r="D16" s="205" t="s">
        <v>594</v>
      </c>
    </row>
    <row r="17" spans="1:4">
      <c r="A17" s="205">
        <v>16</v>
      </c>
      <c r="B17" s="364">
        <v>1100000</v>
      </c>
      <c r="C17" s="205" t="s">
        <v>53</v>
      </c>
      <c r="D17" s="205" t="s">
        <v>595</v>
      </c>
    </row>
    <row r="18" spans="1:4">
      <c r="A18" s="205">
        <v>17</v>
      </c>
      <c r="B18" s="364">
        <v>1950000</v>
      </c>
      <c r="C18" s="205" t="s">
        <v>53</v>
      </c>
      <c r="D18" s="205" t="s">
        <v>596</v>
      </c>
    </row>
    <row r="19" spans="1:4">
      <c r="A19" s="205">
        <v>18</v>
      </c>
      <c r="B19" s="364">
        <v>0.6</v>
      </c>
      <c r="C19" s="205" t="s">
        <v>53</v>
      </c>
      <c r="D19" s="205" t="s">
        <v>592</v>
      </c>
    </row>
    <row r="20" spans="1:4">
      <c r="A20" s="205">
        <v>19</v>
      </c>
      <c r="B20" s="364">
        <v>0.7</v>
      </c>
      <c r="C20" s="205" t="s">
        <v>53</v>
      </c>
      <c r="D20" s="205" t="s">
        <v>593</v>
      </c>
    </row>
    <row r="21" spans="1:4">
      <c r="A21" s="205">
        <v>20</v>
      </c>
      <c r="B21" s="364">
        <v>0.8</v>
      </c>
      <c r="C21" s="205" t="s">
        <v>53</v>
      </c>
      <c r="D21" s="205" t="s">
        <v>594</v>
      </c>
    </row>
    <row r="22" spans="1:4">
      <c r="A22" s="205">
        <v>21</v>
      </c>
      <c r="B22" s="364">
        <v>0.9</v>
      </c>
      <c r="C22" s="205" t="s">
        <v>53</v>
      </c>
      <c r="D22" s="205" t="s">
        <v>595</v>
      </c>
    </row>
    <row r="23" spans="1:4">
      <c r="A23" s="50">
        <v>1</v>
      </c>
      <c r="B23" s="49">
        <v>65</v>
      </c>
      <c r="C23" s="50" t="s">
        <v>53</v>
      </c>
      <c r="D23" s="53" t="s">
        <v>93</v>
      </c>
    </row>
    <row r="24" spans="1:4">
      <c r="A24" s="50">
        <v>2</v>
      </c>
      <c r="B24" s="49">
        <v>3300000</v>
      </c>
      <c r="C24" s="50" t="s">
        <v>53</v>
      </c>
      <c r="D24" s="53" t="s">
        <v>94</v>
      </c>
    </row>
    <row r="25" spans="1:4">
      <c r="A25" s="50">
        <v>3</v>
      </c>
      <c r="B25" s="49">
        <v>4100000</v>
      </c>
      <c r="C25" s="50" t="s">
        <v>53</v>
      </c>
      <c r="D25" s="53" t="s">
        <v>95</v>
      </c>
    </row>
    <row r="26" spans="1:4">
      <c r="A26" s="50">
        <v>4</v>
      </c>
      <c r="B26" s="49">
        <v>7700000</v>
      </c>
      <c r="C26" s="50" t="s">
        <v>53</v>
      </c>
      <c r="D26" s="53" t="s">
        <v>96</v>
      </c>
    </row>
    <row r="27" spans="1:4">
      <c r="A27" s="50">
        <v>5</v>
      </c>
      <c r="B27" s="49">
        <v>10000000</v>
      </c>
      <c r="C27" s="50" t="s">
        <v>53</v>
      </c>
      <c r="D27" s="53" t="s">
        <v>97</v>
      </c>
    </row>
    <row r="28" spans="1:4">
      <c r="A28" s="50">
        <v>6</v>
      </c>
      <c r="B28" s="49">
        <v>1300000</v>
      </c>
      <c r="C28" s="50" t="s">
        <v>53</v>
      </c>
      <c r="D28" s="53" t="s">
        <v>98</v>
      </c>
    </row>
    <row r="29" spans="1:4">
      <c r="A29" s="50">
        <v>7</v>
      </c>
      <c r="B29" s="49">
        <v>4100000</v>
      </c>
      <c r="C29" s="50" t="s">
        <v>53</v>
      </c>
      <c r="D29" s="53" t="s">
        <v>99</v>
      </c>
    </row>
    <row r="30" spans="1:4">
      <c r="A30" s="50">
        <v>8</v>
      </c>
      <c r="B30" s="49">
        <v>7700000</v>
      </c>
      <c r="C30" s="50" t="s">
        <v>53</v>
      </c>
      <c r="D30" s="53" t="s">
        <v>100</v>
      </c>
    </row>
    <row r="31" spans="1:4">
      <c r="A31" s="50">
        <v>9</v>
      </c>
      <c r="B31" s="49">
        <v>10000000</v>
      </c>
      <c r="C31" s="50" t="s">
        <v>53</v>
      </c>
      <c r="D31" s="53" t="s">
        <v>101</v>
      </c>
    </row>
    <row r="32" spans="1:4">
      <c r="A32" s="50">
        <v>10</v>
      </c>
      <c r="B32" s="49" t="s">
        <v>102</v>
      </c>
      <c r="C32" s="50" t="s">
        <v>53</v>
      </c>
      <c r="D32" s="53" t="s">
        <v>103</v>
      </c>
    </row>
    <row r="33" spans="1:4">
      <c r="A33" s="50">
        <v>11</v>
      </c>
      <c r="B33" s="49" t="s">
        <v>104</v>
      </c>
      <c r="C33" s="50" t="s">
        <v>53</v>
      </c>
      <c r="D33" s="53" t="s">
        <v>105</v>
      </c>
    </row>
    <row r="34" spans="1:4">
      <c r="A34" s="50">
        <v>12</v>
      </c>
      <c r="B34" s="49" t="s">
        <v>106</v>
      </c>
      <c r="C34" s="50" t="s">
        <v>53</v>
      </c>
      <c r="D34" s="53" t="s">
        <v>107</v>
      </c>
    </row>
    <row r="35" spans="1:4">
      <c r="A35" s="50">
        <v>13</v>
      </c>
      <c r="B35" s="49" t="s">
        <v>108</v>
      </c>
      <c r="C35" s="50" t="s">
        <v>53</v>
      </c>
      <c r="D35" s="53" t="s">
        <v>109</v>
      </c>
    </row>
    <row r="36" spans="1:4">
      <c r="A36" s="50">
        <v>14</v>
      </c>
      <c r="B36" s="49" t="s">
        <v>110</v>
      </c>
      <c r="C36" s="50" t="s">
        <v>53</v>
      </c>
      <c r="D36" s="53" t="s">
        <v>111</v>
      </c>
    </row>
    <row r="37" spans="1:4">
      <c r="A37" s="50">
        <v>15</v>
      </c>
      <c r="B37" s="49" t="s">
        <v>112</v>
      </c>
      <c r="C37" s="50" t="s">
        <v>53</v>
      </c>
      <c r="D37" s="53" t="s">
        <v>113</v>
      </c>
    </row>
    <row r="38" spans="1:4">
      <c r="A38" s="50">
        <v>16</v>
      </c>
      <c r="B38" s="49" t="s">
        <v>104</v>
      </c>
      <c r="C38" s="50" t="s">
        <v>53</v>
      </c>
      <c r="D38" s="53" t="s">
        <v>114</v>
      </c>
    </row>
    <row r="39" spans="1:4">
      <c r="A39" s="50">
        <v>17</v>
      </c>
      <c r="B39" s="49" t="s">
        <v>106</v>
      </c>
      <c r="C39" s="50" t="s">
        <v>53</v>
      </c>
      <c r="D39" s="53" t="s">
        <v>115</v>
      </c>
    </row>
    <row r="40" spans="1:4">
      <c r="A40" s="50">
        <v>18</v>
      </c>
      <c r="B40" s="49" t="s">
        <v>108</v>
      </c>
      <c r="C40" s="50" t="s">
        <v>53</v>
      </c>
      <c r="D40" s="53" t="s">
        <v>116</v>
      </c>
    </row>
    <row r="41" spans="1:4">
      <c r="A41" s="50">
        <v>19</v>
      </c>
      <c r="B41" s="49" t="s">
        <v>110</v>
      </c>
      <c r="C41" s="50" t="s">
        <v>53</v>
      </c>
      <c r="D41" s="53" t="s">
        <v>117</v>
      </c>
    </row>
    <row r="42" spans="1:4">
      <c r="B42" t="s">
        <v>223</v>
      </c>
    </row>
    <row r="43" spans="1:4">
      <c r="B43" s="56"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zoomScaleNormal="100" workbookViewId="0">
      <selection activeCell="C51" sqref="C51"/>
    </sheetView>
  </sheetViews>
  <sheetFormatPr defaultRowHeight="13.5"/>
  <cols>
    <col min="4" max="4" width="45" style="55" bestFit="1" customWidth="1"/>
  </cols>
  <sheetData>
    <row r="1" spans="1:5">
      <c r="A1" s="50" t="s">
        <v>170</v>
      </c>
      <c r="B1" s="50" t="s">
        <v>50</v>
      </c>
      <c r="C1" s="50" t="s">
        <v>51</v>
      </c>
      <c r="D1" s="49" t="s">
        <v>52</v>
      </c>
    </row>
    <row r="2" spans="1:5">
      <c r="A2" s="50">
        <v>1</v>
      </c>
      <c r="B2" s="50">
        <v>330000</v>
      </c>
      <c r="C2" s="50" t="s">
        <v>53</v>
      </c>
      <c r="D2" s="49" t="s">
        <v>31</v>
      </c>
    </row>
    <row r="3" spans="1:5">
      <c r="A3" s="50">
        <v>2</v>
      </c>
      <c r="B3" s="50">
        <v>330000</v>
      </c>
      <c r="C3" s="50" t="s">
        <v>53</v>
      </c>
      <c r="D3" s="49" t="s">
        <v>118</v>
      </c>
      <c r="E3" t="s">
        <v>225</v>
      </c>
    </row>
    <row r="4" spans="1:5">
      <c r="A4" s="50">
        <v>3</v>
      </c>
      <c r="B4" s="50">
        <v>220000</v>
      </c>
      <c r="C4" s="50" t="s">
        <v>53</v>
      </c>
      <c r="D4" s="49" t="s">
        <v>119</v>
      </c>
      <c r="E4" t="s">
        <v>226</v>
      </c>
    </row>
    <row r="5" spans="1:5">
      <c r="A5" s="50">
        <v>4</v>
      </c>
      <c r="B5" s="50">
        <v>110000</v>
      </c>
      <c r="C5" s="50" t="s">
        <v>53</v>
      </c>
      <c r="D5" s="49" t="s">
        <v>120</v>
      </c>
      <c r="E5" t="s">
        <v>227</v>
      </c>
    </row>
    <row r="6" spans="1:5">
      <c r="A6" s="50">
        <v>5</v>
      </c>
      <c r="B6" s="50">
        <v>380000</v>
      </c>
      <c r="C6" s="50" t="s">
        <v>53</v>
      </c>
      <c r="D6" s="49" t="s">
        <v>121</v>
      </c>
    </row>
    <row r="7" spans="1:5">
      <c r="A7" s="50">
        <v>6</v>
      </c>
      <c r="B7" s="50">
        <v>260000</v>
      </c>
      <c r="C7" s="50" t="s">
        <v>53</v>
      </c>
      <c r="D7" s="49" t="s">
        <v>122</v>
      </c>
    </row>
    <row r="8" spans="1:5">
      <c r="A8" s="50">
        <v>7</v>
      </c>
      <c r="B8" s="50">
        <v>130000</v>
      </c>
      <c r="C8" s="50" t="s">
        <v>53</v>
      </c>
      <c r="D8" s="49" t="s">
        <v>123</v>
      </c>
    </row>
    <row r="9" spans="1:5">
      <c r="A9" s="50">
        <v>8</v>
      </c>
      <c r="B9" s="50">
        <v>330000</v>
      </c>
      <c r="C9" s="50" t="s">
        <v>53</v>
      </c>
      <c r="D9" s="49" t="s">
        <v>124</v>
      </c>
      <c r="E9" t="s">
        <v>228</v>
      </c>
    </row>
    <row r="10" spans="1:5">
      <c r="A10" s="50">
        <v>9</v>
      </c>
      <c r="B10" s="50">
        <v>330000</v>
      </c>
      <c r="C10" s="50" t="s">
        <v>53</v>
      </c>
      <c r="D10" s="49" t="s">
        <v>125</v>
      </c>
      <c r="E10" t="s">
        <v>229</v>
      </c>
    </row>
    <row r="11" spans="1:5">
      <c r="A11" s="50">
        <v>10</v>
      </c>
      <c r="B11" s="50">
        <v>330000</v>
      </c>
      <c r="C11" s="50" t="s">
        <v>53</v>
      </c>
      <c r="D11" s="49" t="s">
        <v>126</v>
      </c>
      <c r="E11" t="s">
        <v>230</v>
      </c>
    </row>
    <row r="12" spans="1:5">
      <c r="A12" s="50">
        <v>11</v>
      </c>
      <c r="B12" s="50">
        <v>310000</v>
      </c>
      <c r="C12" s="50" t="s">
        <v>53</v>
      </c>
      <c r="D12" s="49" t="s">
        <v>127</v>
      </c>
      <c r="E12" t="s">
        <v>231</v>
      </c>
    </row>
    <row r="13" spans="1:5">
      <c r="A13" s="50">
        <v>12</v>
      </c>
      <c r="B13" s="50">
        <v>260000</v>
      </c>
      <c r="C13" s="50" t="s">
        <v>53</v>
      </c>
      <c r="D13" s="49" t="s">
        <v>128</v>
      </c>
      <c r="E13" t="s">
        <v>232</v>
      </c>
    </row>
    <row r="14" spans="1:5">
      <c r="A14" s="50">
        <v>13</v>
      </c>
      <c r="B14" s="50">
        <v>210000</v>
      </c>
      <c r="C14" s="50" t="s">
        <v>53</v>
      </c>
      <c r="D14" s="49" t="s">
        <v>129</v>
      </c>
      <c r="E14" t="s">
        <v>233</v>
      </c>
    </row>
    <row r="15" spans="1:5">
      <c r="A15" s="50">
        <v>14</v>
      </c>
      <c r="B15" s="50">
        <v>160000</v>
      </c>
      <c r="C15" s="50" t="s">
        <v>53</v>
      </c>
      <c r="D15" s="49" t="s">
        <v>130</v>
      </c>
      <c r="E15" t="s">
        <v>234</v>
      </c>
    </row>
    <row r="16" spans="1:5">
      <c r="A16" s="50">
        <v>15</v>
      </c>
      <c r="B16" s="50">
        <v>110000</v>
      </c>
      <c r="C16" s="50" t="s">
        <v>53</v>
      </c>
      <c r="D16" s="49" t="s">
        <v>131</v>
      </c>
      <c r="E16" t="s">
        <v>235</v>
      </c>
    </row>
    <row r="17" spans="1:5">
      <c r="A17" s="50">
        <v>16</v>
      </c>
      <c r="B17" s="50">
        <v>60000</v>
      </c>
      <c r="C17" s="50" t="s">
        <v>53</v>
      </c>
      <c r="D17" s="49" t="s">
        <v>132</v>
      </c>
      <c r="E17" t="s">
        <v>236</v>
      </c>
    </row>
    <row r="18" spans="1:5">
      <c r="A18" s="50">
        <v>17</v>
      </c>
      <c r="B18" s="50">
        <v>30000</v>
      </c>
      <c r="C18" s="50" t="s">
        <v>53</v>
      </c>
      <c r="D18" s="49" t="s">
        <v>133</v>
      </c>
      <c r="E18" t="s">
        <v>237</v>
      </c>
    </row>
    <row r="19" spans="1:5">
      <c r="A19" s="50">
        <v>18</v>
      </c>
      <c r="B19" s="50">
        <v>220000</v>
      </c>
      <c r="C19" s="50" t="s">
        <v>53</v>
      </c>
      <c r="D19" s="49" t="s">
        <v>134</v>
      </c>
      <c r="E19" t="s">
        <v>238</v>
      </c>
    </row>
    <row r="20" spans="1:5">
      <c r="A20" s="50">
        <v>19</v>
      </c>
      <c r="B20" s="50">
        <v>220000</v>
      </c>
      <c r="C20" s="50" t="s">
        <v>53</v>
      </c>
      <c r="D20" s="49" t="s">
        <v>135</v>
      </c>
      <c r="E20" t="s">
        <v>239</v>
      </c>
    </row>
    <row r="21" spans="1:5">
      <c r="A21" s="50">
        <v>20</v>
      </c>
      <c r="B21" s="50">
        <v>220000</v>
      </c>
      <c r="C21" s="50" t="s">
        <v>53</v>
      </c>
      <c r="D21" s="49" t="s">
        <v>136</v>
      </c>
      <c r="E21" t="s">
        <v>240</v>
      </c>
    </row>
    <row r="22" spans="1:5">
      <c r="A22" s="50">
        <v>21</v>
      </c>
      <c r="B22" s="50">
        <v>210000</v>
      </c>
      <c r="C22" s="50" t="s">
        <v>53</v>
      </c>
      <c r="D22" s="49" t="s">
        <v>137</v>
      </c>
      <c r="E22" t="s">
        <v>241</v>
      </c>
    </row>
    <row r="23" spans="1:5">
      <c r="A23" s="50">
        <v>22</v>
      </c>
      <c r="B23" s="50">
        <v>180000</v>
      </c>
      <c r="C23" s="50" t="s">
        <v>53</v>
      </c>
      <c r="D23" s="49" t="s">
        <v>138</v>
      </c>
      <c r="E23" t="s">
        <v>242</v>
      </c>
    </row>
    <row r="24" spans="1:5">
      <c r="A24" s="50">
        <v>23</v>
      </c>
      <c r="B24" s="50">
        <v>140000</v>
      </c>
      <c r="C24" s="50" t="s">
        <v>53</v>
      </c>
      <c r="D24" s="49" t="s">
        <v>139</v>
      </c>
      <c r="E24" t="s">
        <v>243</v>
      </c>
    </row>
    <row r="25" spans="1:5">
      <c r="A25" s="50">
        <v>24</v>
      </c>
      <c r="B25" s="50">
        <v>110000</v>
      </c>
      <c r="C25" s="50" t="s">
        <v>53</v>
      </c>
      <c r="D25" s="49" t="s">
        <v>140</v>
      </c>
      <c r="E25" t="s">
        <v>244</v>
      </c>
    </row>
    <row r="26" spans="1:5">
      <c r="A26" s="50">
        <v>25</v>
      </c>
      <c r="B26" s="50">
        <v>80000</v>
      </c>
      <c r="C26" s="50" t="s">
        <v>53</v>
      </c>
      <c r="D26" s="49" t="s">
        <v>141</v>
      </c>
      <c r="E26" t="s">
        <v>245</v>
      </c>
    </row>
    <row r="27" spans="1:5">
      <c r="A27" s="50">
        <v>26</v>
      </c>
      <c r="B27" s="50">
        <v>40000</v>
      </c>
      <c r="C27" s="50" t="s">
        <v>53</v>
      </c>
      <c r="D27" s="49" t="s">
        <v>142</v>
      </c>
      <c r="E27" t="s">
        <v>246</v>
      </c>
    </row>
    <row r="28" spans="1:5">
      <c r="A28" s="50">
        <v>27</v>
      </c>
      <c r="B28" s="50">
        <v>20000</v>
      </c>
      <c r="C28" s="50" t="s">
        <v>53</v>
      </c>
      <c r="D28" s="49" t="s">
        <v>143</v>
      </c>
      <c r="E28" t="s">
        <v>247</v>
      </c>
    </row>
    <row r="29" spans="1:5">
      <c r="A29" s="50">
        <v>28</v>
      </c>
      <c r="B29" s="50">
        <v>110000</v>
      </c>
      <c r="C29" s="50" t="s">
        <v>53</v>
      </c>
      <c r="D29" s="49" t="s">
        <v>144</v>
      </c>
      <c r="E29" t="s">
        <v>248</v>
      </c>
    </row>
    <row r="30" spans="1:5">
      <c r="A30" s="50">
        <v>29</v>
      </c>
      <c r="B30" s="50">
        <v>110000</v>
      </c>
      <c r="C30" s="50" t="s">
        <v>53</v>
      </c>
      <c r="D30" s="49" t="s">
        <v>145</v>
      </c>
      <c r="E30" t="s">
        <v>249</v>
      </c>
    </row>
    <row r="31" spans="1:5">
      <c r="A31" s="50">
        <v>30</v>
      </c>
      <c r="B31" s="50">
        <v>110000</v>
      </c>
      <c r="C31" s="50" t="s">
        <v>53</v>
      </c>
      <c r="D31" s="49" t="s">
        <v>146</v>
      </c>
      <c r="E31" t="s">
        <v>250</v>
      </c>
    </row>
    <row r="32" spans="1:5">
      <c r="A32" s="50">
        <v>31</v>
      </c>
      <c r="B32" s="50">
        <v>110000</v>
      </c>
      <c r="C32" s="50" t="s">
        <v>53</v>
      </c>
      <c r="D32" s="49" t="s">
        <v>147</v>
      </c>
      <c r="E32" t="s">
        <v>251</v>
      </c>
    </row>
    <row r="33" spans="1:5">
      <c r="A33" s="50">
        <v>32</v>
      </c>
      <c r="B33" s="50">
        <v>90000</v>
      </c>
      <c r="C33" s="50" t="s">
        <v>53</v>
      </c>
      <c r="D33" s="49" t="s">
        <v>148</v>
      </c>
      <c r="E33" t="s">
        <v>252</v>
      </c>
    </row>
    <row r="34" spans="1:5">
      <c r="A34" s="50">
        <v>33</v>
      </c>
      <c r="B34" s="50">
        <v>70000</v>
      </c>
      <c r="C34" s="50" t="s">
        <v>53</v>
      </c>
      <c r="D34" s="49" t="s">
        <v>149</v>
      </c>
      <c r="E34" t="s">
        <v>253</v>
      </c>
    </row>
    <row r="35" spans="1:5">
      <c r="A35" s="50">
        <v>34</v>
      </c>
      <c r="B35" s="50">
        <v>60000</v>
      </c>
      <c r="C35" s="50" t="s">
        <v>53</v>
      </c>
      <c r="D35" s="49" t="s">
        <v>150</v>
      </c>
      <c r="E35" t="s">
        <v>254</v>
      </c>
    </row>
    <row r="36" spans="1:5">
      <c r="A36" s="50">
        <v>35</v>
      </c>
      <c r="B36" s="50">
        <v>40000</v>
      </c>
      <c r="C36" s="50" t="s">
        <v>53</v>
      </c>
      <c r="D36" s="49" t="s">
        <v>151</v>
      </c>
      <c r="E36" t="s">
        <v>255</v>
      </c>
    </row>
    <row r="37" spans="1:5">
      <c r="A37" s="50">
        <v>36</v>
      </c>
      <c r="B37" s="50">
        <v>20000</v>
      </c>
      <c r="C37" s="50" t="s">
        <v>53</v>
      </c>
      <c r="D37" s="49" t="s">
        <v>152</v>
      </c>
      <c r="E37" t="s">
        <v>256</v>
      </c>
    </row>
    <row r="38" spans="1:5">
      <c r="A38" s="50">
        <v>37</v>
      </c>
      <c r="B38" s="50">
        <v>10000</v>
      </c>
      <c r="C38" s="50" t="s">
        <v>53</v>
      </c>
      <c r="D38" s="49" t="s">
        <v>153</v>
      </c>
      <c r="E38" t="s">
        <v>257</v>
      </c>
    </row>
    <row r="39" spans="1:5">
      <c r="A39" s="50">
        <v>38</v>
      </c>
      <c r="B39" s="50">
        <v>330000</v>
      </c>
      <c r="C39" s="50" t="s">
        <v>53</v>
      </c>
      <c r="D39" s="49" t="s">
        <v>18</v>
      </c>
    </row>
    <row r="40" spans="1:5">
      <c r="A40" s="50">
        <v>39</v>
      </c>
      <c r="B40" s="50">
        <v>450000</v>
      </c>
      <c r="C40" s="50" t="s">
        <v>53</v>
      </c>
      <c r="D40" s="49" t="s">
        <v>19</v>
      </c>
    </row>
    <row r="41" spans="1:5">
      <c r="A41" s="50">
        <v>40</v>
      </c>
      <c r="B41" s="50">
        <v>380000</v>
      </c>
      <c r="C41" s="50" t="s">
        <v>53</v>
      </c>
      <c r="D41" s="49" t="s">
        <v>20</v>
      </c>
    </row>
    <row r="42" spans="1:5">
      <c r="A42" s="50">
        <v>41</v>
      </c>
      <c r="B42" s="50">
        <v>450000</v>
      </c>
      <c r="C42" s="50" t="s">
        <v>53</v>
      </c>
      <c r="D42" s="49" t="s">
        <v>154</v>
      </c>
    </row>
    <row r="43" spans="1:5">
      <c r="A43" s="50">
        <v>42</v>
      </c>
      <c r="B43" s="50">
        <v>0</v>
      </c>
      <c r="C43" s="50" t="s">
        <v>53</v>
      </c>
      <c r="D43" s="49" t="s">
        <v>155</v>
      </c>
    </row>
    <row r="44" spans="1:5">
      <c r="A44" s="50">
        <v>43</v>
      </c>
      <c r="B44" s="50">
        <v>260000</v>
      </c>
      <c r="C44" s="50" t="s">
        <v>53</v>
      </c>
      <c r="D44" s="49" t="s">
        <v>22</v>
      </c>
    </row>
    <row r="45" spans="1:5">
      <c r="A45" s="50">
        <v>44</v>
      </c>
      <c r="B45" s="50">
        <v>300000</v>
      </c>
      <c r="C45" s="50" t="s">
        <v>53</v>
      </c>
      <c r="D45" s="49" t="s">
        <v>23</v>
      </c>
    </row>
    <row r="46" spans="1:5">
      <c r="A46" s="50">
        <v>45</v>
      </c>
      <c r="B46" s="50">
        <v>530000</v>
      </c>
      <c r="C46" s="50" t="s">
        <v>53</v>
      </c>
      <c r="D46" s="49" t="s">
        <v>24</v>
      </c>
    </row>
    <row r="47" spans="1:5">
      <c r="A47" s="50">
        <v>46</v>
      </c>
      <c r="B47" s="50">
        <v>260000</v>
      </c>
      <c r="C47" s="50" t="s">
        <v>53</v>
      </c>
      <c r="D47" s="49" t="s">
        <v>25</v>
      </c>
    </row>
    <row r="48" spans="1:5">
      <c r="A48" s="50">
        <v>47</v>
      </c>
      <c r="B48" s="50">
        <v>300000</v>
      </c>
      <c r="C48" s="50" t="s">
        <v>53</v>
      </c>
      <c r="D48" s="49" t="s">
        <v>156</v>
      </c>
    </row>
    <row r="49" spans="1:4">
      <c r="A49" s="50">
        <v>48</v>
      </c>
      <c r="B49" s="50">
        <v>260000</v>
      </c>
      <c r="C49" s="50" t="s">
        <v>53</v>
      </c>
      <c r="D49" s="49" t="s">
        <v>27</v>
      </c>
    </row>
    <row r="50" spans="1:4">
      <c r="A50" s="50">
        <v>49</v>
      </c>
      <c r="B50" s="50">
        <v>260000</v>
      </c>
      <c r="C50" s="50" t="s">
        <v>53</v>
      </c>
      <c r="D50" s="49" t="s">
        <v>157</v>
      </c>
    </row>
    <row r="51" spans="1:4">
      <c r="A51" s="50">
        <v>50</v>
      </c>
      <c r="B51" s="50">
        <v>350000</v>
      </c>
      <c r="C51" s="50" t="s">
        <v>53</v>
      </c>
      <c r="D51" s="49" t="s">
        <v>158</v>
      </c>
    </row>
    <row r="52" spans="1:4">
      <c r="A52" s="50">
        <v>51</v>
      </c>
      <c r="B52" s="50">
        <v>320000</v>
      </c>
      <c r="C52" s="50" t="s">
        <v>53</v>
      </c>
      <c r="D52" s="49" t="s">
        <v>159</v>
      </c>
    </row>
    <row r="53" spans="1:4">
      <c r="A53" s="50">
        <v>52</v>
      </c>
      <c r="B53" s="50">
        <v>1250000</v>
      </c>
      <c r="C53" s="50" t="s">
        <v>53</v>
      </c>
      <c r="D53" s="49" t="s">
        <v>160</v>
      </c>
    </row>
    <row r="54" spans="1:4">
      <c r="A54" s="50">
        <v>53</v>
      </c>
      <c r="B54" s="50">
        <v>5000000</v>
      </c>
      <c r="C54" s="50" t="s">
        <v>53</v>
      </c>
      <c r="D54" s="49" t="s">
        <v>161</v>
      </c>
    </row>
    <row r="55" spans="1:4">
      <c r="A55" s="49">
        <v>54</v>
      </c>
      <c r="B55" s="49">
        <v>150000</v>
      </c>
      <c r="C55" s="49" t="s">
        <v>53</v>
      </c>
      <c r="D55" s="51" t="s">
        <v>162</v>
      </c>
    </row>
    <row r="56" spans="1:4">
      <c r="A56" s="51">
        <v>55</v>
      </c>
      <c r="B56" s="51">
        <v>100000</v>
      </c>
      <c r="C56" s="51" t="s">
        <v>53</v>
      </c>
      <c r="D56" s="51" t="s">
        <v>163</v>
      </c>
    </row>
    <row r="57" spans="1:4">
      <c r="A57" s="374">
        <v>56</v>
      </c>
      <c r="B57" s="374">
        <v>650000</v>
      </c>
      <c r="C57" s="374" t="s">
        <v>53</v>
      </c>
      <c r="D57" s="377" t="s">
        <v>164</v>
      </c>
    </row>
    <row r="58" spans="1:4">
      <c r="A58" s="377">
        <v>57</v>
      </c>
      <c r="B58" s="377">
        <v>290000</v>
      </c>
      <c r="C58" s="377" t="s">
        <v>53</v>
      </c>
      <c r="D58" s="377" t="s">
        <v>602</v>
      </c>
    </row>
    <row r="59" spans="1:4">
      <c r="A59" s="377">
        <v>58</v>
      </c>
      <c r="B59" s="377">
        <v>150000</v>
      </c>
      <c r="C59" s="377" t="s">
        <v>53</v>
      </c>
      <c r="D59" s="377"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opLeftCell="A16" zoomScaleNormal="100" workbookViewId="0">
      <selection activeCell="B7" sqref="B7"/>
    </sheetView>
  </sheetViews>
  <sheetFormatPr defaultRowHeight="13.5"/>
  <cols>
    <col min="2" max="2" width="11.625" bestFit="1" customWidth="1"/>
    <col min="4" max="4" width="45" style="55" bestFit="1" customWidth="1"/>
  </cols>
  <sheetData>
    <row r="1" spans="1:5">
      <c r="A1" s="50" t="s">
        <v>170</v>
      </c>
      <c r="B1" s="50" t="s">
        <v>50</v>
      </c>
      <c r="C1" s="50" t="s">
        <v>51</v>
      </c>
      <c r="D1" s="49" t="s">
        <v>52</v>
      </c>
    </row>
    <row r="2" spans="1:5">
      <c r="A2" s="50">
        <v>1</v>
      </c>
      <c r="B2" s="50">
        <v>50000</v>
      </c>
      <c r="C2" s="50" t="s">
        <v>53</v>
      </c>
      <c r="D2" s="49" t="s">
        <v>31</v>
      </c>
    </row>
    <row r="3" spans="1:5">
      <c r="A3" s="50">
        <v>2</v>
      </c>
      <c r="B3" s="50">
        <v>50000</v>
      </c>
      <c r="C3" s="50" t="s">
        <v>53</v>
      </c>
      <c r="D3" s="49" t="s">
        <v>118</v>
      </c>
      <c r="E3" t="s">
        <v>258</v>
      </c>
    </row>
    <row r="4" spans="1:5">
      <c r="A4" s="50">
        <v>3</v>
      </c>
      <c r="B4" s="50">
        <v>40000</v>
      </c>
      <c r="C4" s="50" t="s">
        <v>53</v>
      </c>
      <c r="D4" s="49" t="s">
        <v>119</v>
      </c>
      <c r="E4" t="s">
        <v>258</v>
      </c>
    </row>
    <row r="5" spans="1:5">
      <c r="A5" s="50">
        <v>4</v>
      </c>
      <c r="B5" s="50">
        <v>20000</v>
      </c>
      <c r="C5" s="50" t="s">
        <v>53</v>
      </c>
      <c r="D5" s="49" t="s">
        <v>120</v>
      </c>
      <c r="E5" t="s">
        <v>258</v>
      </c>
    </row>
    <row r="6" spans="1:5">
      <c r="A6" s="50">
        <v>5</v>
      </c>
      <c r="B6" s="50">
        <v>100000</v>
      </c>
      <c r="C6" s="50" t="s">
        <v>53</v>
      </c>
      <c r="D6" s="49" t="s">
        <v>121</v>
      </c>
    </row>
    <row r="7" spans="1:5">
      <c r="A7" s="50">
        <v>6</v>
      </c>
      <c r="B7" s="50">
        <v>60000</v>
      </c>
      <c r="C7" s="50" t="s">
        <v>53</v>
      </c>
      <c r="D7" s="49" t="s">
        <v>122</v>
      </c>
    </row>
    <row r="8" spans="1:5">
      <c r="A8" s="50">
        <v>7</v>
      </c>
      <c r="B8" s="50">
        <v>30000</v>
      </c>
      <c r="C8" s="50" t="s">
        <v>53</v>
      </c>
      <c r="D8" s="49" t="s">
        <v>123</v>
      </c>
    </row>
    <row r="9" spans="1:5">
      <c r="A9" s="50">
        <v>8</v>
      </c>
      <c r="B9" s="50">
        <v>50000</v>
      </c>
      <c r="C9" s="50" t="s">
        <v>53</v>
      </c>
      <c r="D9" s="49" t="s">
        <v>124</v>
      </c>
      <c r="E9" t="s">
        <v>259</v>
      </c>
    </row>
    <row r="10" spans="1:5">
      <c r="A10" s="50">
        <v>9</v>
      </c>
      <c r="B10" s="50">
        <v>30000</v>
      </c>
      <c r="C10" s="50" t="s">
        <v>53</v>
      </c>
      <c r="D10" s="49" t="s">
        <v>125</v>
      </c>
      <c r="E10" t="s">
        <v>260</v>
      </c>
    </row>
    <row r="11" spans="1:5">
      <c r="A11" s="50">
        <v>10</v>
      </c>
      <c r="B11" s="50">
        <v>0</v>
      </c>
      <c r="C11" s="50" t="s">
        <v>53</v>
      </c>
      <c r="D11" s="49" t="s">
        <v>126</v>
      </c>
    </row>
    <row r="12" spans="1:5">
      <c r="A12" s="50">
        <v>11</v>
      </c>
      <c r="B12" s="50">
        <v>0</v>
      </c>
      <c r="C12" s="50" t="s">
        <v>53</v>
      </c>
      <c r="D12" s="49" t="s">
        <v>127</v>
      </c>
    </row>
    <row r="13" spans="1:5">
      <c r="A13" s="50">
        <v>12</v>
      </c>
      <c r="B13" s="50">
        <v>0</v>
      </c>
      <c r="C13" s="50" t="s">
        <v>53</v>
      </c>
      <c r="D13" s="49" t="s">
        <v>128</v>
      </c>
    </row>
    <row r="14" spans="1:5">
      <c r="A14" s="50">
        <v>13</v>
      </c>
      <c r="B14" s="50">
        <v>0</v>
      </c>
      <c r="C14" s="50" t="s">
        <v>53</v>
      </c>
      <c r="D14" s="49" t="s">
        <v>129</v>
      </c>
    </row>
    <row r="15" spans="1:5">
      <c r="A15" s="50">
        <v>14</v>
      </c>
      <c r="B15" s="50">
        <v>0</v>
      </c>
      <c r="C15" s="50" t="s">
        <v>53</v>
      </c>
      <c r="D15" s="49" t="s">
        <v>130</v>
      </c>
    </row>
    <row r="16" spans="1:5">
      <c r="A16" s="50">
        <v>15</v>
      </c>
      <c r="B16" s="50">
        <v>0</v>
      </c>
      <c r="C16" s="50" t="s">
        <v>53</v>
      </c>
      <c r="D16" s="49" t="s">
        <v>131</v>
      </c>
    </row>
    <row r="17" spans="1:5">
      <c r="A17" s="50">
        <v>16</v>
      </c>
      <c r="B17" s="50">
        <v>0</v>
      </c>
      <c r="C17" s="50" t="s">
        <v>53</v>
      </c>
      <c r="D17" s="49" t="s">
        <v>132</v>
      </c>
    </row>
    <row r="18" spans="1:5">
      <c r="A18" s="50">
        <v>17</v>
      </c>
      <c r="B18" s="50">
        <v>0</v>
      </c>
      <c r="C18" s="50" t="s">
        <v>53</v>
      </c>
      <c r="D18" s="49" t="s">
        <v>133</v>
      </c>
    </row>
    <row r="19" spans="1:5">
      <c r="A19" s="50">
        <v>18</v>
      </c>
      <c r="B19" s="50">
        <v>40000</v>
      </c>
      <c r="C19" s="50" t="s">
        <v>53</v>
      </c>
      <c r="D19" s="49" t="s">
        <v>134</v>
      </c>
      <c r="E19" t="s">
        <v>259</v>
      </c>
    </row>
    <row r="20" spans="1:5">
      <c r="A20" s="50">
        <v>19</v>
      </c>
      <c r="B20" s="50">
        <v>20000</v>
      </c>
      <c r="C20" s="50" t="s">
        <v>53</v>
      </c>
      <c r="D20" s="49" t="s">
        <v>135</v>
      </c>
      <c r="E20" t="s">
        <v>260</v>
      </c>
    </row>
    <row r="21" spans="1:5">
      <c r="A21" s="50">
        <v>20</v>
      </c>
      <c r="B21" s="50">
        <v>0</v>
      </c>
      <c r="C21" s="50" t="s">
        <v>53</v>
      </c>
      <c r="D21" s="49" t="s">
        <v>136</v>
      </c>
    </row>
    <row r="22" spans="1:5">
      <c r="A22" s="50">
        <v>21</v>
      </c>
      <c r="B22" s="50">
        <v>0</v>
      </c>
      <c r="C22" s="50" t="s">
        <v>53</v>
      </c>
      <c r="D22" s="49" t="s">
        <v>137</v>
      </c>
    </row>
    <row r="23" spans="1:5">
      <c r="A23" s="50">
        <v>22</v>
      </c>
      <c r="B23" s="50">
        <v>0</v>
      </c>
      <c r="C23" s="50" t="s">
        <v>53</v>
      </c>
      <c r="D23" s="49" t="s">
        <v>138</v>
      </c>
    </row>
    <row r="24" spans="1:5">
      <c r="A24" s="50">
        <v>23</v>
      </c>
      <c r="B24" s="50">
        <v>0</v>
      </c>
      <c r="C24" s="50" t="s">
        <v>53</v>
      </c>
      <c r="D24" s="49" t="s">
        <v>139</v>
      </c>
    </row>
    <row r="25" spans="1:5">
      <c r="A25" s="50">
        <v>24</v>
      </c>
      <c r="B25" s="50">
        <v>0</v>
      </c>
      <c r="C25" s="50" t="s">
        <v>53</v>
      </c>
      <c r="D25" s="49" t="s">
        <v>140</v>
      </c>
    </row>
    <row r="26" spans="1:5">
      <c r="A26" s="50">
        <v>25</v>
      </c>
      <c r="B26" s="50">
        <v>0</v>
      </c>
      <c r="C26" s="50" t="s">
        <v>53</v>
      </c>
      <c r="D26" s="49" t="s">
        <v>141</v>
      </c>
    </row>
    <row r="27" spans="1:5">
      <c r="A27" s="50">
        <v>26</v>
      </c>
      <c r="B27" s="50">
        <v>0</v>
      </c>
      <c r="C27" s="50" t="s">
        <v>53</v>
      </c>
      <c r="D27" s="49" t="s">
        <v>142</v>
      </c>
    </row>
    <row r="28" spans="1:5">
      <c r="A28" s="50">
        <v>27</v>
      </c>
      <c r="B28" s="50">
        <v>0</v>
      </c>
      <c r="C28" s="50" t="s">
        <v>53</v>
      </c>
      <c r="D28" s="49" t="s">
        <v>143</v>
      </c>
    </row>
    <row r="29" spans="1:5">
      <c r="A29" s="50">
        <v>28</v>
      </c>
      <c r="B29" s="50">
        <v>20000</v>
      </c>
      <c r="C29" s="50" t="s">
        <v>53</v>
      </c>
      <c r="D29" s="49" t="s">
        <v>144</v>
      </c>
      <c r="E29" t="s">
        <v>259</v>
      </c>
    </row>
    <row r="30" spans="1:5">
      <c r="A30" s="50">
        <v>29</v>
      </c>
      <c r="B30" s="50">
        <v>10000</v>
      </c>
      <c r="C30" s="50" t="s">
        <v>53</v>
      </c>
      <c r="D30" s="49" t="s">
        <v>145</v>
      </c>
      <c r="E30" t="s">
        <v>260</v>
      </c>
    </row>
    <row r="31" spans="1:5">
      <c r="A31" s="50">
        <v>30</v>
      </c>
      <c r="B31" s="50">
        <v>0</v>
      </c>
      <c r="C31" s="50" t="s">
        <v>53</v>
      </c>
      <c r="D31" s="49" t="s">
        <v>146</v>
      </c>
    </row>
    <row r="32" spans="1:5">
      <c r="A32" s="50">
        <v>31</v>
      </c>
      <c r="B32" s="50">
        <v>0</v>
      </c>
      <c r="C32" s="50" t="s">
        <v>53</v>
      </c>
      <c r="D32" s="49" t="s">
        <v>147</v>
      </c>
    </row>
    <row r="33" spans="1:4">
      <c r="A33" s="50">
        <v>32</v>
      </c>
      <c r="B33" s="50">
        <v>0</v>
      </c>
      <c r="C33" s="50" t="s">
        <v>53</v>
      </c>
      <c r="D33" s="49" t="s">
        <v>148</v>
      </c>
    </row>
    <row r="34" spans="1:4">
      <c r="A34" s="50">
        <v>33</v>
      </c>
      <c r="B34" s="50">
        <v>0</v>
      </c>
      <c r="C34" s="50" t="s">
        <v>53</v>
      </c>
      <c r="D34" s="49" t="s">
        <v>149</v>
      </c>
    </row>
    <row r="35" spans="1:4">
      <c r="A35" s="50">
        <v>34</v>
      </c>
      <c r="B35" s="50">
        <v>0</v>
      </c>
      <c r="C35" s="50" t="s">
        <v>53</v>
      </c>
      <c r="D35" s="49" t="s">
        <v>150</v>
      </c>
    </row>
    <row r="36" spans="1:4">
      <c r="A36" s="50">
        <v>35</v>
      </c>
      <c r="B36" s="50">
        <v>0</v>
      </c>
      <c r="C36" s="50" t="s">
        <v>53</v>
      </c>
      <c r="D36" s="49" t="s">
        <v>151</v>
      </c>
    </row>
    <row r="37" spans="1:4">
      <c r="A37" s="50">
        <v>36</v>
      </c>
      <c r="B37" s="50">
        <v>0</v>
      </c>
      <c r="C37" s="50" t="s">
        <v>53</v>
      </c>
      <c r="D37" s="49" t="s">
        <v>152</v>
      </c>
    </row>
    <row r="38" spans="1:4">
      <c r="A38" s="50">
        <v>37</v>
      </c>
      <c r="B38" s="50">
        <v>0</v>
      </c>
      <c r="C38" s="50" t="s">
        <v>53</v>
      </c>
      <c r="D38" s="49" t="s">
        <v>153</v>
      </c>
    </row>
    <row r="39" spans="1:4">
      <c r="A39" s="50">
        <v>38</v>
      </c>
      <c r="B39" s="50">
        <v>50000</v>
      </c>
      <c r="C39" s="50" t="s">
        <v>53</v>
      </c>
      <c r="D39" s="49" t="s">
        <v>18</v>
      </c>
    </row>
    <row r="40" spans="1:4">
      <c r="A40" s="50">
        <v>39</v>
      </c>
      <c r="B40" s="50">
        <v>180000</v>
      </c>
      <c r="C40" s="50" t="s">
        <v>53</v>
      </c>
      <c r="D40" s="49" t="s">
        <v>19</v>
      </c>
    </row>
    <row r="41" spans="1:4">
      <c r="A41" s="50">
        <v>40</v>
      </c>
      <c r="B41" s="50">
        <v>100000</v>
      </c>
      <c r="C41" s="50" t="s">
        <v>53</v>
      </c>
      <c r="D41" s="49" t="s">
        <v>20</v>
      </c>
    </row>
    <row r="42" spans="1:4">
      <c r="A42" s="50">
        <v>41</v>
      </c>
      <c r="B42" s="50">
        <v>130000</v>
      </c>
      <c r="C42" s="50" t="s">
        <v>53</v>
      </c>
      <c r="D42" s="49" t="s">
        <v>154</v>
      </c>
    </row>
    <row r="43" spans="1:4">
      <c r="A43" s="50">
        <v>42</v>
      </c>
      <c r="B43" s="50">
        <v>0</v>
      </c>
      <c r="C43" s="50" t="s">
        <v>53</v>
      </c>
      <c r="D43" s="49" t="s">
        <v>155</v>
      </c>
    </row>
    <row r="44" spans="1:4">
      <c r="A44" s="50">
        <v>43</v>
      </c>
      <c r="B44" s="50">
        <v>10000</v>
      </c>
      <c r="C44" s="50" t="s">
        <v>53</v>
      </c>
      <c r="D44" s="49" t="s">
        <v>22</v>
      </c>
    </row>
    <row r="45" spans="1:4">
      <c r="A45" s="50">
        <v>44</v>
      </c>
      <c r="B45" s="50">
        <v>100000</v>
      </c>
      <c r="C45" s="50" t="s">
        <v>53</v>
      </c>
      <c r="D45" s="49" t="s">
        <v>23</v>
      </c>
    </row>
    <row r="46" spans="1:4">
      <c r="A46" s="50">
        <v>45</v>
      </c>
      <c r="B46" s="50">
        <v>220000</v>
      </c>
      <c r="C46" s="50" t="s">
        <v>53</v>
      </c>
      <c r="D46" s="49" t="s">
        <v>24</v>
      </c>
    </row>
    <row r="47" spans="1:4">
      <c r="A47" s="50">
        <v>46</v>
      </c>
      <c r="B47" s="50">
        <v>10000</v>
      </c>
      <c r="C47" s="50" t="s">
        <v>53</v>
      </c>
      <c r="D47" s="49" t="s">
        <v>25</v>
      </c>
    </row>
    <row r="48" spans="1:4">
      <c r="A48" s="50">
        <v>47</v>
      </c>
      <c r="B48" s="50">
        <v>50000</v>
      </c>
      <c r="C48" s="50" t="s">
        <v>53</v>
      </c>
      <c r="D48" s="49" t="s">
        <v>156</v>
      </c>
    </row>
    <row r="49" spans="1:4">
      <c r="A49" s="50">
        <v>48</v>
      </c>
      <c r="B49" s="50">
        <v>10000</v>
      </c>
      <c r="C49" s="50" t="s">
        <v>53</v>
      </c>
      <c r="D49" s="49" t="s">
        <v>27</v>
      </c>
    </row>
    <row r="50" spans="1:4">
      <c r="A50" s="50">
        <v>49</v>
      </c>
      <c r="B50" s="50">
        <v>10000</v>
      </c>
      <c r="C50" s="50" t="s">
        <v>53</v>
      </c>
      <c r="D50" s="49" t="s">
        <v>157</v>
      </c>
    </row>
    <row r="51" spans="1:4">
      <c r="A51" s="50">
        <v>50</v>
      </c>
      <c r="B51" s="50">
        <v>2000000</v>
      </c>
      <c r="C51" s="50" t="s">
        <v>53</v>
      </c>
      <c r="D51" s="49" t="s">
        <v>165</v>
      </c>
    </row>
    <row r="52" spans="1:4">
      <c r="A52" s="50">
        <v>51</v>
      </c>
      <c r="B52" s="50">
        <v>3</v>
      </c>
      <c r="C52" s="50" t="s">
        <v>53</v>
      </c>
      <c r="D52" s="49" t="s">
        <v>166</v>
      </c>
    </row>
    <row r="53" spans="1:4">
      <c r="A53" s="50">
        <v>52</v>
      </c>
      <c r="B53" s="50">
        <v>1500</v>
      </c>
      <c r="C53" s="50" t="s">
        <v>53</v>
      </c>
      <c r="D53" s="49"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K3" sqref="K3"/>
    </sheetView>
  </sheetViews>
  <sheetFormatPr defaultRowHeight="13.5"/>
  <cols>
    <col min="4" max="4" width="35.875" bestFit="1" customWidth="1"/>
  </cols>
  <sheetData>
    <row r="1" spans="1:4">
      <c r="A1" s="50" t="s">
        <v>170</v>
      </c>
      <c r="B1" s="50" t="s">
        <v>50</v>
      </c>
      <c r="C1" s="50" t="s">
        <v>51</v>
      </c>
      <c r="D1" s="50" t="s">
        <v>52</v>
      </c>
    </row>
    <row r="2" spans="1:4">
      <c r="A2" s="50">
        <v>1</v>
      </c>
      <c r="B2" s="50">
        <v>6</v>
      </c>
      <c r="C2" s="50" t="s">
        <v>53</v>
      </c>
      <c r="D2" s="50" t="s">
        <v>261</v>
      </c>
    </row>
    <row r="3" spans="1:4">
      <c r="A3" s="50">
        <v>2</v>
      </c>
      <c r="B3" s="50">
        <v>8</v>
      </c>
      <c r="C3" s="50" t="s">
        <v>53</v>
      </c>
      <c r="D3" s="50" t="s">
        <v>262</v>
      </c>
    </row>
    <row r="4" spans="1:4">
      <c r="A4" s="50">
        <v>3</v>
      </c>
      <c r="B4" s="50">
        <v>1000</v>
      </c>
      <c r="C4" s="50" t="s">
        <v>53</v>
      </c>
      <c r="D4" s="50" t="s">
        <v>263</v>
      </c>
    </row>
    <row r="5" spans="1:4">
      <c r="A5" s="50">
        <v>4</v>
      </c>
      <c r="B5" s="50">
        <v>100</v>
      </c>
      <c r="C5" s="50" t="s">
        <v>53</v>
      </c>
      <c r="D5" s="50"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C51" sqref="C51"/>
    </sheetView>
  </sheetViews>
  <sheetFormatPr defaultRowHeight="13.5"/>
  <cols>
    <col min="1" max="1" width="11.625" bestFit="1" customWidth="1"/>
  </cols>
  <sheetData>
    <row r="1" spans="1:2">
      <c r="A1" t="s">
        <v>574</v>
      </c>
    </row>
    <row r="2" spans="1:2">
      <c r="A2" s="363">
        <v>43556</v>
      </c>
      <c r="B2" t="s">
        <v>575</v>
      </c>
    </row>
    <row r="3" spans="1:2">
      <c r="A3" s="363">
        <v>43840</v>
      </c>
      <c r="B3" t="s">
        <v>576</v>
      </c>
    </row>
    <row r="4" spans="1:2">
      <c r="A4" s="363">
        <v>44056</v>
      </c>
      <c r="B4" t="s">
        <v>577</v>
      </c>
    </row>
    <row r="5" spans="1:2">
      <c r="A5" s="363">
        <v>44200</v>
      </c>
      <c r="B5" t="s">
        <v>578</v>
      </c>
    </row>
    <row r="6" spans="1:2">
      <c r="A6" s="363">
        <v>44273</v>
      </c>
      <c r="B6" t="s">
        <v>606</v>
      </c>
    </row>
    <row r="7" spans="1:2">
      <c r="A7" s="363">
        <v>44287</v>
      </c>
      <c r="B7" t="s">
        <v>627</v>
      </c>
    </row>
    <row r="8" spans="1:2">
      <c r="A8" s="363">
        <v>44652</v>
      </c>
      <c r="B8" t="s">
        <v>639</v>
      </c>
    </row>
    <row r="9" spans="1:2">
      <c r="A9" s="363">
        <v>44753</v>
      </c>
      <c r="B9" t="s">
        <v>848</v>
      </c>
    </row>
    <row r="10" spans="1:2">
      <c r="A10" s="363">
        <v>44986</v>
      </c>
      <c r="B10" t="s">
        <v>859</v>
      </c>
    </row>
    <row r="11" spans="1:2">
      <c r="A11" s="363">
        <v>45243</v>
      </c>
      <c r="B11" t="s">
        <v>869</v>
      </c>
    </row>
    <row r="12" spans="1:2">
      <c r="A12" s="396">
        <v>45285</v>
      </c>
      <c r="B12" s="150" t="s">
        <v>870</v>
      </c>
    </row>
    <row r="13" spans="1:2">
      <c r="A13" s="363">
        <v>45364</v>
      </c>
      <c r="B13" s="150" t="s">
        <v>922</v>
      </c>
    </row>
    <row r="14" spans="1:2">
      <c r="A14" s="363">
        <v>45384</v>
      </c>
      <c r="B14" s="150" t="s">
        <v>923</v>
      </c>
    </row>
    <row r="15" spans="1:2">
      <c r="A15" s="363">
        <v>45454</v>
      </c>
      <c r="B15" s="150" t="s">
        <v>924</v>
      </c>
    </row>
    <row r="16" spans="1:2">
      <c r="A16" s="363">
        <v>45531</v>
      </c>
      <c r="B16" s="150" t="s">
        <v>935</v>
      </c>
    </row>
    <row r="17" spans="1:4">
      <c r="A17" s="363">
        <v>45719</v>
      </c>
      <c r="B17" s="150" t="s">
        <v>942</v>
      </c>
      <c r="D17" s="98" t="s">
        <v>1080</v>
      </c>
    </row>
    <row r="18" spans="1:4">
      <c r="D18" t="s">
        <v>1081</v>
      </c>
    </row>
    <row r="19" spans="1:4">
      <c r="D19" s="98" t="s">
        <v>936</v>
      </c>
    </row>
    <row r="20" spans="1:4">
      <c r="D20" s="98" t="s">
        <v>1078</v>
      </c>
    </row>
    <row r="21" spans="1:4">
      <c r="D21" s="98" t="s">
        <v>1079</v>
      </c>
    </row>
    <row r="22" spans="1:4">
      <c r="D22" s="98" t="s">
        <v>1077</v>
      </c>
    </row>
    <row r="23" spans="1:4">
      <c r="A23" s="363">
        <v>45737</v>
      </c>
      <c r="B23" t="s">
        <v>1106</v>
      </c>
    </row>
    <row r="24" spans="1:4">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6"/>
  <sheetViews>
    <sheetView view="pageBreakPreview" zoomScaleNormal="100" zoomScaleSheetLayoutView="100" workbookViewId="0">
      <selection activeCell="T28" sqref="T28"/>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 min="18" max="28" width="9" style="55"/>
  </cols>
  <sheetData>
    <row r="1" spans="1:28">
      <c r="A1" s="573" t="s">
        <v>1074</v>
      </c>
      <c r="B1" s="573"/>
      <c r="C1" s="573"/>
      <c r="D1" s="573"/>
      <c r="E1" s="573"/>
      <c r="F1" s="573"/>
      <c r="G1" s="573"/>
      <c r="H1" s="573"/>
      <c r="I1" s="573"/>
      <c r="J1" s="573"/>
      <c r="K1" s="573"/>
      <c r="L1" s="573"/>
      <c r="M1" s="573"/>
      <c r="N1" s="573"/>
      <c r="O1" s="573"/>
      <c r="Q1" s="535"/>
      <c r="R1" s="593" t="s">
        <v>1075</v>
      </c>
      <c r="S1" s="593"/>
      <c r="T1" s="593"/>
      <c r="U1" s="593"/>
      <c r="V1" s="593"/>
      <c r="W1" s="593"/>
      <c r="X1" s="593"/>
      <c r="Y1" s="593"/>
      <c r="Z1" s="593"/>
      <c r="AA1" s="593"/>
      <c r="AB1" s="593"/>
    </row>
    <row r="2" spans="1:28" ht="6" customHeight="1">
      <c r="A2" s="506"/>
      <c r="B2" s="506"/>
      <c r="C2" s="506"/>
      <c r="D2" s="506"/>
      <c r="E2" s="506"/>
      <c r="F2" s="506"/>
      <c r="G2" s="506"/>
      <c r="H2" s="506"/>
      <c r="I2" s="506"/>
      <c r="J2" s="506"/>
      <c r="K2" s="506"/>
      <c r="L2" s="506"/>
      <c r="M2" s="506"/>
      <c r="N2" s="506"/>
      <c r="O2" s="589">
        <f>MAX(修正履歴!A:A)</f>
        <v>45737</v>
      </c>
      <c r="P2" s="589"/>
      <c r="Q2" s="590"/>
      <c r="R2" s="198"/>
      <c r="S2" s="198"/>
      <c r="T2" s="198"/>
      <c r="U2" s="198"/>
      <c r="V2" s="198"/>
      <c r="W2" s="198"/>
      <c r="X2" s="198"/>
      <c r="Y2" s="198"/>
      <c r="Z2" s="198"/>
      <c r="AA2" s="198"/>
      <c r="AB2" s="198"/>
    </row>
    <row r="3" spans="1:28">
      <c r="A3" s="87" t="s">
        <v>297</v>
      </c>
      <c r="G3" s="506"/>
      <c r="H3" s="506"/>
      <c r="I3" s="506"/>
      <c r="J3" s="506"/>
      <c r="K3" s="506"/>
      <c r="L3" s="506"/>
      <c r="M3" s="506"/>
      <c r="N3" s="506"/>
      <c r="O3" s="589"/>
      <c r="P3" s="589"/>
      <c r="Q3" s="590"/>
      <c r="R3" s="514" t="s">
        <v>608</v>
      </c>
      <c r="S3" s="514"/>
      <c r="T3" s="514"/>
      <c r="U3" s="514"/>
      <c r="V3" s="514"/>
      <c r="W3" s="514"/>
      <c r="X3" s="514"/>
      <c r="Y3" s="514"/>
      <c r="Z3" s="514"/>
      <c r="AA3" s="514"/>
      <c r="AB3" s="514"/>
    </row>
    <row r="4" spans="1:28" ht="6" customHeight="1">
      <c r="A4" s="506"/>
      <c r="B4" s="87"/>
      <c r="C4" s="87"/>
      <c r="D4" s="87"/>
      <c r="E4" s="87"/>
      <c r="F4" s="87"/>
      <c r="G4" s="506"/>
      <c r="H4" s="506"/>
      <c r="I4" s="506"/>
      <c r="J4" s="506"/>
      <c r="K4" s="506"/>
      <c r="L4" s="506"/>
      <c r="M4" s="506"/>
      <c r="N4" s="506"/>
      <c r="O4" s="506"/>
      <c r="Q4" s="535"/>
      <c r="R4" s="594" t="s">
        <v>1101</v>
      </c>
      <c r="S4" s="594"/>
      <c r="T4" s="594"/>
      <c r="U4" s="594"/>
      <c r="V4" s="594"/>
      <c r="W4" s="594"/>
      <c r="X4" s="594"/>
      <c r="Y4" s="594"/>
      <c r="Z4" s="594"/>
      <c r="AA4" s="594"/>
      <c r="AB4" s="594"/>
    </row>
    <row r="5" spans="1:28">
      <c r="A5" s="506"/>
      <c r="B5" s="574"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574"/>
      <c r="D5" s="574"/>
      <c r="E5" s="574"/>
      <c r="F5" s="574"/>
      <c r="G5" s="574"/>
      <c r="H5" s="574"/>
      <c r="I5" s="574"/>
      <c r="J5" s="574"/>
      <c r="K5" s="574"/>
      <c r="L5" s="574"/>
      <c r="M5" s="574"/>
      <c r="N5" s="574"/>
      <c r="O5" s="574"/>
      <c r="Q5" s="535"/>
      <c r="R5" s="594"/>
      <c r="S5" s="594"/>
      <c r="T5" s="594"/>
      <c r="U5" s="594"/>
      <c r="V5" s="594"/>
      <c r="W5" s="594"/>
      <c r="X5" s="594"/>
      <c r="Y5" s="594"/>
      <c r="Z5" s="594"/>
      <c r="AA5" s="594"/>
      <c r="AB5" s="594"/>
    </row>
    <row r="6" spans="1:28">
      <c r="A6" s="506"/>
      <c r="B6" s="574"/>
      <c r="C6" s="574"/>
      <c r="D6" s="574"/>
      <c r="E6" s="574"/>
      <c r="F6" s="574"/>
      <c r="G6" s="574"/>
      <c r="H6" s="574"/>
      <c r="I6" s="574"/>
      <c r="J6" s="574"/>
      <c r="K6" s="574"/>
      <c r="L6" s="574"/>
      <c r="M6" s="574"/>
      <c r="N6" s="574"/>
      <c r="O6" s="574"/>
      <c r="Q6" s="535"/>
      <c r="R6" s="594"/>
      <c r="S6" s="594"/>
      <c r="T6" s="594"/>
      <c r="U6" s="594"/>
      <c r="V6" s="594"/>
      <c r="W6" s="594"/>
      <c r="X6" s="594"/>
      <c r="Y6" s="594"/>
      <c r="Z6" s="594"/>
      <c r="AA6" s="594"/>
      <c r="AB6" s="594"/>
    </row>
    <row r="7" spans="1:28" ht="5.25" customHeight="1">
      <c r="A7" s="506"/>
      <c r="B7" s="506"/>
      <c r="C7" s="506"/>
      <c r="D7" s="506"/>
      <c r="E7" s="506"/>
      <c r="F7" s="506"/>
      <c r="G7" s="506"/>
      <c r="H7" s="506"/>
      <c r="I7" s="57"/>
      <c r="J7" s="164"/>
      <c r="K7" s="57"/>
      <c r="L7" s="166"/>
      <c r="M7" s="166"/>
      <c r="N7" s="166"/>
      <c r="O7" s="165"/>
      <c r="Q7" s="535"/>
      <c r="R7" s="594"/>
      <c r="S7" s="594"/>
      <c r="T7" s="594"/>
      <c r="U7" s="594"/>
      <c r="V7" s="594"/>
      <c r="W7" s="594"/>
      <c r="X7" s="594"/>
      <c r="Y7" s="594"/>
      <c r="Z7" s="594"/>
      <c r="AA7" s="594"/>
      <c r="AB7" s="594"/>
    </row>
    <row r="8" spans="1:28" ht="14.25" thickBot="1">
      <c r="A8" s="506"/>
      <c r="B8" s="506"/>
      <c r="C8" s="506"/>
      <c r="D8" s="506"/>
      <c r="E8" s="506"/>
      <c r="F8" s="506"/>
      <c r="G8" s="506"/>
      <c r="H8" s="584" t="s">
        <v>386</v>
      </c>
      <c r="I8" s="584"/>
      <c r="J8" s="584"/>
      <c r="K8" s="584"/>
      <c r="L8" s="578">
        <v>45757</v>
      </c>
      <c r="M8" s="578"/>
      <c r="N8" s="578"/>
      <c r="O8" s="165"/>
      <c r="Q8" s="535"/>
      <c r="R8" s="594" t="s">
        <v>395</v>
      </c>
      <c r="S8" s="594"/>
      <c r="T8" s="594"/>
      <c r="U8" s="594"/>
      <c r="V8" s="594"/>
      <c r="W8" s="594"/>
      <c r="X8" s="594"/>
      <c r="Y8" s="594"/>
      <c r="Z8" s="594"/>
      <c r="AA8" s="594"/>
      <c r="AB8" s="594"/>
    </row>
    <row r="9" spans="1:28" ht="9.9499999999999993" customHeight="1">
      <c r="A9" s="506"/>
      <c r="B9" s="506"/>
      <c r="C9" s="506"/>
      <c r="D9" s="506"/>
      <c r="E9" s="506"/>
      <c r="F9" s="506"/>
      <c r="G9" s="506"/>
      <c r="H9" s="506"/>
      <c r="I9" s="57"/>
      <c r="J9" s="57"/>
      <c r="K9" s="57"/>
      <c r="L9" s="579" t="s">
        <v>941</v>
      </c>
      <c r="M9" s="579"/>
      <c r="N9" s="579"/>
      <c r="O9" s="165"/>
      <c r="Q9" s="535"/>
      <c r="R9" s="594"/>
      <c r="S9" s="594"/>
      <c r="T9" s="594"/>
      <c r="U9" s="594"/>
      <c r="V9" s="594"/>
      <c r="W9" s="594"/>
      <c r="X9" s="594"/>
      <c r="Y9" s="594"/>
      <c r="Z9" s="594"/>
      <c r="AA9" s="594"/>
      <c r="AB9" s="594"/>
    </row>
    <row r="10" spans="1:28" ht="14.25" customHeight="1" thickBot="1">
      <c r="A10" s="506"/>
      <c r="C10" s="209" t="s">
        <v>620</v>
      </c>
      <c r="D10" s="217">
        <v>2025</v>
      </c>
      <c r="E10" s="409"/>
      <c r="F10" s="209"/>
      <c r="H10" s="585" t="s">
        <v>396</v>
      </c>
      <c r="I10" s="585"/>
      <c r="J10" s="585"/>
      <c r="K10" s="585"/>
      <c r="L10" s="545" t="s">
        <v>397</v>
      </c>
      <c r="M10" s="545"/>
      <c r="N10" s="545"/>
      <c r="O10" s="165"/>
      <c r="Q10" s="535"/>
      <c r="R10" s="594" t="s">
        <v>1097</v>
      </c>
      <c r="S10" s="594"/>
      <c r="T10" s="594"/>
      <c r="U10" s="594"/>
      <c r="V10" s="594"/>
      <c r="W10" s="594"/>
      <c r="X10" s="594"/>
      <c r="Y10" s="594"/>
      <c r="Z10" s="594"/>
      <c r="AA10" s="594"/>
      <c r="AB10" s="594"/>
    </row>
    <row r="11" spans="1:28" ht="14.25" thickBot="1">
      <c r="A11" s="506"/>
      <c r="C11" s="509" t="str">
        <f>IF(VLOOKUP(L10,計算シート!F15:G22,2,0)=4,"奨学生番号","申込受付番号")</f>
        <v>申込受付番号</v>
      </c>
      <c r="D11" s="556" t="s">
        <v>1085</v>
      </c>
      <c r="E11" s="556"/>
      <c r="F11" s="556"/>
      <c r="G11" s="506" t="s">
        <v>433</v>
      </c>
      <c r="H11" s="521" t="s">
        <v>1086</v>
      </c>
      <c r="I11" s="165" t="s">
        <v>433</v>
      </c>
      <c r="J11" s="581" t="s">
        <v>1089</v>
      </c>
      <c r="K11" s="581"/>
      <c r="L11" s="581"/>
      <c r="M11" s="581"/>
      <c r="N11" s="581"/>
      <c r="O11" s="165"/>
      <c r="Q11" s="535"/>
      <c r="R11" s="594"/>
      <c r="S11" s="594"/>
      <c r="T11" s="594"/>
      <c r="U11" s="594"/>
      <c r="V11" s="594"/>
      <c r="W11" s="594"/>
      <c r="X11" s="594"/>
      <c r="Y11" s="594"/>
      <c r="Z11" s="594"/>
      <c r="AA11" s="594"/>
      <c r="AB11" s="594"/>
    </row>
    <row r="12" spans="1:28" ht="6.75" customHeight="1">
      <c r="A12" s="506"/>
      <c r="B12" s="139"/>
      <c r="C12" s="471"/>
      <c r="D12" s="472"/>
      <c r="E12" s="472"/>
      <c r="F12" s="472"/>
      <c r="G12" s="473"/>
      <c r="H12" s="474"/>
      <c r="I12" s="473"/>
      <c r="J12" s="475"/>
      <c r="K12" s="475"/>
      <c r="L12" s="475"/>
      <c r="M12" s="475"/>
      <c r="N12" s="473"/>
      <c r="O12" s="165"/>
      <c r="Q12" s="535"/>
      <c r="R12" s="594"/>
      <c r="S12" s="594"/>
      <c r="T12" s="594"/>
      <c r="U12" s="594"/>
      <c r="V12" s="594"/>
      <c r="W12" s="594"/>
      <c r="X12" s="594"/>
      <c r="Y12" s="594"/>
      <c r="Z12" s="594"/>
      <c r="AA12" s="594"/>
      <c r="AB12" s="594"/>
    </row>
    <row r="13" spans="1:28" ht="14.25" thickBot="1">
      <c r="B13" s="478"/>
      <c r="C13" s="477" t="str">
        <f>IF(VLOOKUP(L10,計算シート!F15:G22,2,0)=4,"奨学生","申込者")&amp;"本人氏名"</f>
        <v>申込者本人氏名</v>
      </c>
      <c r="D13" s="557" t="s">
        <v>1087</v>
      </c>
      <c r="E13" s="557"/>
      <c r="F13" s="557"/>
      <c r="G13" s="586" t="str">
        <f>IF(計算シート!C67=0,"本人生年月日","")</f>
        <v/>
      </c>
      <c r="H13" s="586"/>
      <c r="I13" s="578">
        <v>38357</v>
      </c>
      <c r="J13" s="578"/>
      <c r="K13" s="578"/>
      <c r="L13" s="578"/>
      <c r="M13" s="470" t="str">
        <f>IF(計算シート!C67=0,"（ yyyy / mm / dd ）","")</f>
        <v/>
      </c>
      <c r="N13" s="476"/>
      <c r="Q13" s="535"/>
      <c r="R13" s="594"/>
      <c r="S13" s="594"/>
      <c r="T13" s="594"/>
      <c r="U13" s="594"/>
      <c r="V13" s="594"/>
      <c r="W13" s="594"/>
      <c r="X13" s="594"/>
      <c r="Y13" s="594"/>
      <c r="Z13" s="594"/>
      <c r="AA13" s="594"/>
      <c r="AB13" s="594"/>
    </row>
    <row r="14" spans="1:28" ht="1.5" customHeight="1">
      <c r="B14" s="139"/>
      <c r="C14" s="471"/>
      <c r="D14" s="480"/>
      <c r="E14" s="480"/>
      <c r="F14" s="480"/>
      <c r="G14" s="481"/>
      <c r="H14" s="481"/>
      <c r="I14" s="482"/>
      <c r="J14" s="482"/>
      <c r="K14" s="483"/>
      <c r="L14" s="483"/>
      <c r="M14" s="484"/>
      <c r="N14" s="483"/>
      <c r="Q14" s="535"/>
      <c r="R14" s="594"/>
      <c r="S14" s="594"/>
      <c r="T14" s="594"/>
      <c r="U14" s="594"/>
      <c r="V14" s="594"/>
      <c r="W14" s="594"/>
      <c r="X14" s="594"/>
      <c r="Y14" s="594"/>
      <c r="Z14" s="594"/>
      <c r="AA14" s="594"/>
      <c r="AB14" s="594"/>
    </row>
    <row r="15" spans="1:28" ht="14.25" customHeight="1" thickBot="1">
      <c r="A15" s="479"/>
      <c r="B15" s="478"/>
      <c r="C15" s="477" t="str">
        <f>IF(計算シート!C67=0,"生計維持者１","配偶者")&amp;"の氏名"</f>
        <v>配偶者の氏名</v>
      </c>
      <c r="D15" s="557" t="s">
        <v>1088</v>
      </c>
      <c r="E15" s="557"/>
      <c r="F15" s="557"/>
      <c r="G15" s="582" t="str">
        <f>IF(計算シート!C67=0,"本人との続柄","")</f>
        <v/>
      </c>
      <c r="H15" s="582"/>
      <c r="I15" s="558" t="s">
        <v>1065</v>
      </c>
      <c r="J15" s="558"/>
      <c r="K15" s="490"/>
      <c r="L15" s="490"/>
      <c r="M15" s="491"/>
      <c r="N15" s="492"/>
      <c r="Q15" s="535"/>
      <c r="R15" s="594" t="s">
        <v>416</v>
      </c>
      <c r="S15" s="594"/>
      <c r="T15" s="594"/>
      <c r="U15" s="594"/>
      <c r="V15" s="594"/>
      <c r="W15" s="594"/>
      <c r="X15" s="594"/>
      <c r="Y15" s="594"/>
      <c r="Z15" s="594"/>
      <c r="AA15" s="594"/>
      <c r="AB15" s="594"/>
    </row>
    <row r="16" spans="1:28" ht="2.1" customHeight="1">
      <c r="B16" s="139"/>
      <c r="C16" s="471"/>
      <c r="D16" s="480"/>
      <c r="E16" s="480"/>
      <c r="F16" s="480"/>
      <c r="G16" s="493"/>
      <c r="H16" s="493"/>
      <c r="I16" s="494"/>
      <c r="J16" s="494"/>
      <c r="K16" s="495"/>
      <c r="L16" s="495"/>
      <c r="M16" s="496"/>
      <c r="N16" s="496"/>
      <c r="Q16" s="535"/>
      <c r="R16" s="594"/>
      <c r="S16" s="594"/>
      <c r="T16" s="594"/>
      <c r="U16" s="594"/>
      <c r="V16" s="594"/>
      <c r="W16" s="594"/>
      <c r="X16" s="594"/>
      <c r="Y16" s="594"/>
      <c r="Z16" s="594"/>
      <c r="AA16" s="594"/>
      <c r="AB16" s="594"/>
    </row>
    <row r="17" spans="1:28" ht="14.25" thickBot="1">
      <c r="A17" s="479"/>
      <c r="B17" s="478"/>
      <c r="C17" s="477" t="str">
        <f>IF(AND(計算シート!C67=0,NOT(OR(F36="いいえ",I15="祖父",I15="祖母",I15="その他"))),"生計維持者２"&amp;"の氏名","")</f>
        <v/>
      </c>
      <c r="D17" s="558" t="s">
        <v>366</v>
      </c>
      <c r="E17" s="558"/>
      <c r="F17" s="558"/>
      <c r="G17" s="548" t="str">
        <f>IF(AND(計算シート!C67=0,NOT(OR(F36="いいえ",I15="祖父",I15="祖母",I15="その他"))),"本人との続柄","")</f>
        <v/>
      </c>
      <c r="H17" s="548"/>
      <c r="I17" s="580" t="s">
        <v>1066</v>
      </c>
      <c r="J17" s="580"/>
      <c r="K17" s="582" t="str">
        <f>IF(AND(計算シート!C67=0,NOT(OR(F36="いいえ",I15="祖父",I15="祖母",I15="その他"))),IF(OR(AND(I15="父",I17="父"),AND(I15="母",I17="母")),"生計維持者１と２の続柄が同じです","※生計維持者２がいない場合、氏名は入力しないでください"),"")</f>
        <v/>
      </c>
      <c r="L17" s="582"/>
      <c r="M17" s="582"/>
      <c r="N17" s="583"/>
      <c r="Q17" s="535"/>
      <c r="R17" s="594"/>
      <c r="S17" s="594"/>
      <c r="T17" s="594"/>
      <c r="U17" s="594"/>
      <c r="V17" s="594"/>
      <c r="W17" s="594"/>
      <c r="X17" s="594"/>
      <c r="Y17" s="594"/>
      <c r="Z17" s="594"/>
      <c r="AA17" s="594"/>
      <c r="AB17" s="594"/>
    </row>
    <row r="18" spans="1:28" ht="2.1" customHeight="1">
      <c r="C18" s="509"/>
      <c r="D18" s="449"/>
      <c r="E18" s="449"/>
      <c r="F18" s="449"/>
      <c r="G18" s="485"/>
      <c r="H18" s="485"/>
      <c r="I18" s="450"/>
      <c r="J18" s="450"/>
      <c r="L18" s="469"/>
      <c r="M18" s="469"/>
      <c r="N18" s="202"/>
      <c r="Q18" s="535"/>
      <c r="R18" s="594"/>
      <c r="S18" s="594"/>
      <c r="T18" s="594"/>
      <c r="U18" s="594"/>
      <c r="V18" s="594"/>
      <c r="W18" s="594"/>
      <c r="X18" s="594"/>
      <c r="Y18" s="594"/>
      <c r="Z18" s="594"/>
      <c r="AA18" s="594"/>
      <c r="AB18" s="594"/>
    </row>
    <row r="19" spans="1:28" ht="13.5" customHeight="1">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c r="Q19" s="535"/>
      <c r="R19" s="594"/>
      <c r="S19" s="594"/>
      <c r="T19" s="594"/>
      <c r="U19" s="594"/>
      <c r="V19" s="594"/>
      <c r="W19" s="594"/>
      <c r="X19" s="594"/>
      <c r="Y19" s="594"/>
      <c r="Z19" s="594"/>
      <c r="AA19" s="594"/>
      <c r="AB19" s="594"/>
    </row>
    <row r="20" spans="1:28" ht="13.5" customHeight="1">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c r="Q20" s="535"/>
      <c r="R20" s="594" t="s">
        <v>364</v>
      </c>
      <c r="S20" s="594"/>
      <c r="T20" s="594"/>
      <c r="U20" s="594"/>
      <c r="V20" s="594"/>
      <c r="W20" s="594"/>
      <c r="X20" s="594"/>
      <c r="Y20" s="594"/>
      <c r="Z20" s="594"/>
      <c r="AA20" s="594"/>
      <c r="AB20" s="594"/>
    </row>
    <row r="21" spans="1:28" ht="3.75" customHeight="1" thickBot="1">
      <c r="A21" s="80"/>
      <c r="B21" s="80"/>
      <c r="C21" s="80"/>
      <c r="D21" s="80"/>
      <c r="E21" s="80"/>
      <c r="F21" s="80"/>
      <c r="G21" s="80"/>
      <c r="H21" s="57"/>
      <c r="I21" s="57"/>
      <c r="L21" s="57"/>
      <c r="M21" s="57"/>
      <c r="N21" s="57"/>
      <c r="Q21" s="535"/>
      <c r="R21" s="594"/>
      <c r="S21" s="594"/>
      <c r="T21" s="594"/>
      <c r="U21" s="594"/>
      <c r="V21" s="594"/>
      <c r="W21" s="594"/>
      <c r="X21" s="594"/>
      <c r="Y21" s="594"/>
      <c r="Z21" s="594"/>
      <c r="AA21" s="594"/>
      <c r="AB21" s="594"/>
    </row>
    <row r="22" spans="1:28" s="98" customFormat="1" ht="15.6" customHeight="1" thickTop="1">
      <c r="A22" s="86" t="str">
        <f>IF(計算シート!C67=0,"奨学生本人情報","※大学院申込の場合、この欄は入力不要です")</f>
        <v>※大学院申込の場合、この欄は入力不要です</v>
      </c>
      <c r="B22" s="96"/>
      <c r="C22" s="96"/>
      <c r="D22" s="96"/>
      <c r="E22" s="96"/>
      <c r="F22" s="96"/>
      <c r="G22" s="97"/>
      <c r="H22" s="456"/>
      <c r="I22" s="83" t="s">
        <v>373</v>
      </c>
      <c r="J22" s="189"/>
      <c r="K22" s="189"/>
      <c r="L22" s="189"/>
      <c r="M22" s="189"/>
      <c r="N22" s="97"/>
      <c r="Q22" s="536"/>
      <c r="R22" s="594"/>
      <c r="S22" s="594"/>
      <c r="T22" s="594"/>
      <c r="U22" s="594"/>
      <c r="V22" s="594"/>
      <c r="W22" s="594"/>
      <c r="X22" s="594"/>
      <c r="Y22" s="594"/>
      <c r="Z22" s="594"/>
      <c r="AA22" s="594"/>
      <c r="AB22" s="594"/>
    </row>
    <row r="23" spans="1:28" s="98" customFormat="1" ht="12.95" customHeight="1" thickBot="1">
      <c r="A23" s="170" t="s">
        <v>316</v>
      </c>
      <c r="B23" s="591" t="str">
        <f>IF(計算シート!C67=0,"生年月日（yyyy/mm/dd）","")</f>
        <v/>
      </c>
      <c r="C23" s="592"/>
      <c r="D23" s="592"/>
      <c r="E23" s="365"/>
      <c r="F23" s="366">
        <f>I13</f>
        <v>38357</v>
      </c>
      <c r="G23" s="102"/>
      <c r="I23" s="191" t="s">
        <v>374</v>
      </c>
      <c r="J23" s="75"/>
      <c r="K23" s="75"/>
      <c r="L23" s="75"/>
      <c r="M23" s="75"/>
      <c r="N23" s="102"/>
      <c r="Q23" s="536"/>
      <c r="R23" s="594"/>
      <c r="S23" s="594"/>
      <c r="T23" s="594"/>
      <c r="U23" s="594"/>
      <c r="V23" s="594"/>
      <c r="W23" s="594"/>
      <c r="X23" s="594"/>
      <c r="Y23" s="594"/>
      <c r="Z23" s="594"/>
      <c r="AA23" s="594"/>
      <c r="AB23" s="594"/>
    </row>
    <row r="24" spans="1:28" s="98" customFormat="1" ht="12.95" customHeight="1" thickBot="1">
      <c r="A24" s="171" t="s">
        <v>317</v>
      </c>
      <c r="B24" s="571" t="str">
        <f>IF(計算シート!C67=0,"どちらの生計維持者に扶養されていますか","")</f>
        <v/>
      </c>
      <c r="C24" s="572"/>
      <c r="D24" s="572"/>
      <c r="F24" s="58" t="s">
        <v>38</v>
      </c>
      <c r="G24" s="102"/>
      <c r="I24" s="191" t="s">
        <v>375</v>
      </c>
      <c r="J24" s="75"/>
      <c r="K24" s="75"/>
      <c r="L24" s="75"/>
      <c r="M24" s="75"/>
      <c r="N24" s="102"/>
      <c r="Q24" s="536"/>
      <c r="R24" s="594"/>
      <c r="S24" s="594"/>
      <c r="T24" s="594"/>
      <c r="U24" s="594"/>
      <c r="V24" s="594"/>
      <c r="W24" s="594"/>
      <c r="X24" s="594"/>
      <c r="Y24" s="594"/>
      <c r="Z24" s="594"/>
      <c r="AA24" s="594"/>
      <c r="AB24" s="594"/>
    </row>
    <row r="25" spans="1:28" s="98" customFormat="1" ht="12.95" customHeight="1" thickBot="1">
      <c r="A25" s="171" t="s">
        <v>318</v>
      </c>
      <c r="B25" s="587" t="str">
        <f>IF(計算シート!C67=0,"障がい者に該当していますか","")</f>
        <v/>
      </c>
      <c r="C25" s="588"/>
      <c r="D25" s="588"/>
      <c r="E25" s="103"/>
      <c r="F25" s="90" t="s">
        <v>266</v>
      </c>
      <c r="G25" s="102"/>
      <c r="I25" s="191" t="s">
        <v>376</v>
      </c>
      <c r="J25" s="75"/>
      <c r="K25" s="75"/>
      <c r="L25" s="75"/>
      <c r="M25" s="75"/>
      <c r="N25" s="102"/>
      <c r="Q25" s="536"/>
      <c r="R25" s="515" t="s">
        <v>609</v>
      </c>
      <c r="S25" s="516"/>
      <c r="T25" s="516"/>
      <c r="U25" s="516"/>
      <c r="V25" s="516"/>
      <c r="W25" s="516"/>
      <c r="X25" s="516"/>
      <c r="Y25" s="516"/>
      <c r="Z25" s="516"/>
      <c r="AA25" s="516"/>
      <c r="AB25" s="516"/>
    </row>
    <row r="26" spans="1:28" s="98" customFormat="1" ht="12.95" customHeight="1" thickBot="1">
      <c r="A26" s="171" t="s">
        <v>319</v>
      </c>
      <c r="B26" s="559" t="str">
        <f>IF(計算シート!C67=0,"　生計維持者と同居していますか","")</f>
        <v/>
      </c>
      <c r="C26" s="560"/>
      <c r="D26" s="560"/>
      <c r="E26" s="103"/>
      <c r="F26" s="73" t="s">
        <v>40</v>
      </c>
      <c r="G26" s="102"/>
      <c r="I26" s="455">
        <v>1</v>
      </c>
      <c r="J26" s="546" t="s">
        <v>377</v>
      </c>
      <c r="K26" s="547"/>
      <c r="L26" s="547"/>
      <c r="M26" s="547"/>
      <c r="N26" s="523" t="s">
        <v>378</v>
      </c>
      <c r="Q26" s="536"/>
      <c r="R26" s="516" t="s">
        <v>610</v>
      </c>
      <c r="S26" s="516"/>
      <c r="T26" s="516"/>
      <c r="U26" s="516"/>
      <c r="V26" s="516"/>
      <c r="W26" s="516"/>
      <c r="X26" s="516"/>
      <c r="Y26" s="516"/>
      <c r="Z26" s="516"/>
      <c r="AA26" s="516"/>
      <c r="AB26" s="516"/>
    </row>
    <row r="27" spans="1:28" s="98" customFormat="1" ht="12.95" customHeight="1" thickBot="1">
      <c r="A27" s="171" t="s">
        <v>320</v>
      </c>
      <c r="B27" s="559" t="str">
        <f>IF(計算シート!C67=0,"奨学生本人に収入（所得）がありますか","")</f>
        <v/>
      </c>
      <c r="C27" s="560"/>
      <c r="D27" s="560"/>
      <c r="E27" s="99"/>
      <c r="F27" s="58" t="s">
        <v>40</v>
      </c>
      <c r="G27" s="102"/>
      <c r="I27" s="455">
        <v>2</v>
      </c>
      <c r="J27" s="547" t="s">
        <v>384</v>
      </c>
      <c r="K27" s="547"/>
      <c r="L27" s="547"/>
      <c r="M27" s="547"/>
      <c r="N27" s="523" t="str">
        <f>IF(F36="はい","○"&amp;IF(VLOOKUP(L10,計算シート!F15:G22,2,0)=4,"※",""),"")</f>
        <v>○</v>
      </c>
      <c r="Q27" s="536"/>
      <c r="R27" s="515" t="s">
        <v>1102</v>
      </c>
      <c r="S27" s="516"/>
      <c r="T27" s="516"/>
      <c r="U27" s="516"/>
      <c r="V27" s="516"/>
      <c r="W27" s="516"/>
      <c r="X27" s="516"/>
      <c r="Y27" s="516"/>
      <c r="Z27" s="516"/>
      <c r="AA27" s="516"/>
      <c r="AB27" s="516"/>
    </row>
    <row r="28" spans="1:28" s="98" customFormat="1" ht="12.95" customHeight="1" thickBot="1">
      <c r="A28" s="171" t="s">
        <v>321</v>
      </c>
      <c r="B28" s="559" t="str">
        <f>IF(計算シート!C67=0,"　給与収入金額の通貨","")</f>
        <v/>
      </c>
      <c r="C28" s="560"/>
      <c r="D28" s="560"/>
      <c r="E28" s="99"/>
      <c r="F28" s="73" t="s">
        <v>49</v>
      </c>
      <c r="G28" s="102"/>
      <c r="I28" s="455">
        <v>3</v>
      </c>
      <c r="J28" s="546" t="s">
        <v>383</v>
      </c>
      <c r="K28" s="547"/>
      <c r="L28" s="547"/>
      <c r="M28" s="547"/>
      <c r="N28" s="523" t="str">
        <f>IF(SUM(F51:F59,L51:L59)&gt;0,"○","")</f>
        <v>○</v>
      </c>
      <c r="Q28" s="536"/>
      <c r="R28" s="515" t="s">
        <v>616</v>
      </c>
      <c r="S28" s="513"/>
      <c r="T28" s="513"/>
      <c r="U28" s="513"/>
      <c r="V28" s="513"/>
      <c r="W28" s="513"/>
      <c r="X28" s="513"/>
      <c r="Y28" s="513"/>
      <c r="Z28" s="513"/>
      <c r="AA28" s="513"/>
      <c r="AB28" s="513"/>
    </row>
    <row r="29" spans="1:28" s="98" customFormat="1" ht="12.95" customHeight="1" thickBot="1">
      <c r="A29" s="171" t="s">
        <v>322</v>
      </c>
      <c r="B29" s="559" t="str">
        <f>IF(計算シート!C67=0,"　　給与収入金額","")</f>
        <v/>
      </c>
      <c r="C29" s="560"/>
      <c r="D29" s="560"/>
      <c r="F29" s="200">
        <v>1000000</v>
      </c>
      <c r="G29" s="100" t="str">
        <f>MID(F28,SEARCH("(",F28)+1,3)</f>
        <v>JPY</v>
      </c>
      <c r="I29" s="455">
        <v>4</v>
      </c>
      <c r="J29" s="546" t="str">
        <f>IF(計算シート!C67=0,"生計維持者が１人のみであることを証するもの","ひとり親世帯に関するもの")</f>
        <v>ひとり親世帯に関するもの</v>
      </c>
      <c r="K29" s="547"/>
      <c r="L29" s="547"/>
      <c r="M29" s="547"/>
      <c r="N29" s="523" t="str">
        <f>IF(OR(AND(計算シート!C67=0,F36="いいえ"),AND(計算シート!C67=1,F40="ひとり親である")),"○","")</f>
        <v/>
      </c>
      <c r="Q29" s="536"/>
      <c r="R29" s="515" t="s">
        <v>622</v>
      </c>
      <c r="S29" s="513"/>
      <c r="T29" s="513"/>
      <c r="U29" s="513"/>
      <c r="V29" s="513"/>
      <c r="W29" s="513"/>
      <c r="X29" s="513"/>
      <c r="Y29" s="513"/>
      <c r="Z29" s="513"/>
      <c r="AA29" s="513"/>
      <c r="AB29" s="513"/>
    </row>
    <row r="30" spans="1:28" s="98" customFormat="1" ht="12.95" customHeight="1" thickBot="1">
      <c r="A30" s="171" t="s">
        <v>323</v>
      </c>
      <c r="B30" s="571" t="str">
        <f>IF(計算シート!C67=0,"　給与・年金以外の所得の通貨","")</f>
        <v/>
      </c>
      <c r="C30" s="572"/>
      <c r="D30" s="572"/>
      <c r="E30" s="99"/>
      <c r="F30" s="73" t="s">
        <v>49</v>
      </c>
      <c r="G30" s="102"/>
      <c r="I30" s="455">
        <v>5</v>
      </c>
      <c r="J30" s="546" t="s">
        <v>381</v>
      </c>
      <c r="K30" s="547"/>
      <c r="L30" s="547"/>
      <c r="M30" s="547"/>
      <c r="N30" s="523" t="str">
        <f>IF(OR(F25="障がい者である",F25="特別の障がい者である",F39="障がい者である",F39="特別の障がい者である",L39="障がい者である",L39="特別の障がい者である",SUM(F57:F59,L57:L59)&gt;0),"○","")</f>
        <v>○</v>
      </c>
      <c r="Q30" s="536"/>
      <c r="R30" s="594" t="s">
        <v>1076</v>
      </c>
      <c r="S30" s="594"/>
      <c r="T30" s="594"/>
      <c r="U30" s="594"/>
      <c r="V30" s="594"/>
      <c r="W30" s="594"/>
      <c r="X30" s="594"/>
      <c r="Y30" s="594"/>
      <c r="Z30" s="594"/>
      <c r="AA30" s="594"/>
      <c r="AB30" s="594"/>
    </row>
    <row r="31" spans="1:28" s="98" customFormat="1" ht="12.95" customHeight="1" thickBot="1">
      <c r="A31" s="172" t="s">
        <v>324</v>
      </c>
      <c r="B31" s="554" t="str">
        <f>IF(計算シート!C67=0,"　　給与・年金以外の所得の金額","")</f>
        <v/>
      </c>
      <c r="C31" s="555"/>
      <c r="D31" s="555"/>
      <c r="E31" s="107"/>
      <c r="F31" s="200">
        <v>0</v>
      </c>
      <c r="G31" s="108" t="str">
        <f>MID(F30,SEARCH("(",F30)+1,3)</f>
        <v>JPY</v>
      </c>
      <c r="I31" s="190"/>
      <c r="J31" s="117"/>
      <c r="K31" s="117"/>
      <c r="L31" s="117"/>
      <c r="M31" s="117"/>
      <c r="N31" s="127"/>
      <c r="Q31" s="536"/>
      <c r="R31" s="594"/>
      <c r="S31" s="594"/>
      <c r="T31" s="594"/>
      <c r="U31" s="594"/>
      <c r="V31" s="594"/>
      <c r="W31" s="594"/>
      <c r="X31" s="594"/>
      <c r="Y31" s="594"/>
      <c r="Z31" s="594"/>
      <c r="AA31" s="594"/>
      <c r="AB31" s="594"/>
    </row>
    <row r="32" spans="1:28" s="98" customFormat="1" ht="3" customHeight="1" thickTop="1">
      <c r="Q32" s="536"/>
      <c r="R32" s="594"/>
      <c r="S32" s="594"/>
      <c r="T32" s="594"/>
      <c r="U32" s="594"/>
      <c r="V32" s="594"/>
      <c r="W32" s="594"/>
      <c r="X32" s="594"/>
      <c r="Y32" s="594"/>
      <c r="Z32" s="594"/>
      <c r="AA32" s="594"/>
      <c r="AB32" s="594"/>
    </row>
    <row r="33" spans="1:28" s="98" customFormat="1" ht="14.1" customHeight="1" thickBot="1">
      <c r="A33" s="78"/>
      <c r="B33" s="78"/>
      <c r="C33" s="78"/>
      <c r="D33" s="78"/>
      <c r="E33" s="79"/>
      <c r="F33" s="109" t="str">
        <f>IF(計算シート!C67=0,"生計維持者１","申込者本人")</f>
        <v>申込者本人</v>
      </c>
      <c r="G33" s="111"/>
      <c r="H33" s="109"/>
      <c r="I33" s="110"/>
      <c r="J33" s="78"/>
      <c r="K33" s="79"/>
      <c r="L33" s="125" t="str">
        <f>IF(計算シート!C67=0,IF(AND(F36="はい",OR(I15="その他",L15="祖父",L15="祖母")),"生計維持者１の配偶者",IF(AND(F36="はい",OR(AND(I15="父",I17="母"),AND(I15="母",I17="父"))),"生計維持者２","")),IF(F36="はい","申込者本人の配偶者",""))</f>
        <v>申込者本人の配偶者</v>
      </c>
      <c r="M33" s="125" t="s">
        <v>1108</v>
      </c>
      <c r="N33" s="440"/>
      <c r="O33" s="441"/>
      <c r="P33" s="112"/>
      <c r="Q33" s="536"/>
      <c r="R33" s="594"/>
      <c r="S33" s="594"/>
      <c r="T33" s="594"/>
      <c r="U33" s="594"/>
      <c r="V33" s="594"/>
      <c r="W33" s="594"/>
      <c r="X33" s="594"/>
      <c r="Y33" s="594"/>
      <c r="Z33" s="594"/>
      <c r="AA33" s="594"/>
      <c r="AB33" s="594"/>
    </row>
    <row r="34" spans="1:28" s="98" customFormat="1" ht="15.6" customHeight="1" thickTop="1" thickBot="1">
      <c r="A34" s="83" t="str">
        <f>IF(計算シート!C67=0,"生計維持者","申込者本人")&amp;"の基本情報"</f>
        <v>申込者本人の基本情報</v>
      </c>
      <c r="B34" s="428"/>
      <c r="C34" s="428"/>
      <c r="D34" s="428"/>
      <c r="E34" s="429"/>
      <c r="F34" s="75"/>
      <c r="G34" s="75"/>
      <c r="H34" s="75"/>
      <c r="I34" s="113"/>
      <c r="J34" s="75"/>
      <c r="K34" s="76"/>
      <c r="L34" s="126" t="str">
        <f>IF(OR(L33="生計維持者１の配偶者",L33="申込者本人の配偶者"),"(配偶者の基本情報）","")</f>
        <v>(配偶者の基本情報）</v>
      </c>
      <c r="M34" s="97"/>
      <c r="N34" s="510" t="s">
        <v>1109</v>
      </c>
      <c r="P34" s="114"/>
      <c r="Q34" s="536"/>
      <c r="R34" s="516" t="s">
        <v>931</v>
      </c>
      <c r="S34" s="516"/>
      <c r="T34" s="514"/>
      <c r="U34" s="514"/>
      <c r="V34" s="514"/>
      <c r="W34" s="514"/>
      <c r="X34" s="514"/>
      <c r="Y34" s="514"/>
      <c r="Z34" s="514"/>
      <c r="AA34" s="514"/>
      <c r="AB34" s="514"/>
    </row>
    <row r="35" spans="1:28" s="98" customFormat="1" ht="12.95" customHeight="1" thickBot="1">
      <c r="A35" s="173" t="s">
        <v>325</v>
      </c>
      <c r="B35" s="571" t="s">
        <v>406</v>
      </c>
      <c r="C35" s="572"/>
      <c r="D35" s="572"/>
      <c r="E35" s="430"/>
      <c r="F35" s="214">
        <v>18268</v>
      </c>
      <c r="G35" s="75"/>
      <c r="H35" s="421"/>
      <c r="I35" s="113"/>
      <c r="J35" s="176" t="s">
        <v>330</v>
      </c>
      <c r="K35" s="76"/>
      <c r="L35" s="214">
        <v>18300</v>
      </c>
      <c r="M35" s="102"/>
      <c r="N35" s="510" t="s">
        <v>1110</v>
      </c>
      <c r="P35" s="114"/>
      <c r="Q35" s="536"/>
      <c r="R35" s="516" t="s">
        <v>933</v>
      </c>
      <c r="S35" s="516"/>
      <c r="T35" s="514"/>
      <c r="U35" s="514"/>
      <c r="V35" s="514"/>
      <c r="W35" s="514"/>
      <c r="X35" s="514"/>
      <c r="Y35" s="514"/>
      <c r="Z35" s="514"/>
      <c r="AA35" s="514"/>
      <c r="AB35" s="514"/>
    </row>
    <row r="36" spans="1:28" s="98" customFormat="1" ht="12.95" customHeight="1" thickBot="1">
      <c r="A36" s="174" t="s">
        <v>326</v>
      </c>
      <c r="B36" s="559" t="str">
        <f>IF(計算シート!C67=0,"","申込者本人に")&amp;"配偶者はいますか"</f>
        <v>申込者本人に配偶者はいますか</v>
      </c>
      <c r="C36" s="560"/>
      <c r="D36" s="560"/>
      <c r="E36" s="430"/>
      <c r="F36" s="58" t="s">
        <v>40</v>
      </c>
      <c r="G36" s="75"/>
      <c r="H36" s="115"/>
      <c r="I36" s="113"/>
      <c r="J36" s="177"/>
      <c r="K36" s="76"/>
      <c r="L36" s="115"/>
      <c r="M36" s="102"/>
      <c r="N36" s="510" t="s">
        <v>1111</v>
      </c>
      <c r="P36" s="114"/>
      <c r="Q36" s="536"/>
      <c r="R36" s="516" t="s">
        <v>1103</v>
      </c>
      <c r="S36" s="513"/>
      <c r="T36" s="513"/>
      <c r="U36" s="513"/>
      <c r="V36" s="513"/>
      <c r="W36" s="513"/>
      <c r="X36" s="513"/>
      <c r="Y36" s="513"/>
      <c r="Z36" s="513"/>
      <c r="AA36" s="513"/>
      <c r="AB36" s="513"/>
    </row>
    <row r="37" spans="1:28" s="98" customFormat="1" ht="12.95" hidden="1" customHeight="1" thickBot="1">
      <c r="A37" s="174" t="s">
        <v>327</v>
      </c>
      <c r="B37" s="559" t="str">
        <f>IF(計算シート!C67=0,"　配偶者は生計維持者２ですか","")</f>
        <v/>
      </c>
      <c r="C37" s="560"/>
      <c r="D37" s="560"/>
      <c r="E37" s="430"/>
      <c r="F37" s="58" t="str">
        <f>IF(AND(I15&lt;&gt;"その他",F36="はい"),"はい","いいえ")</f>
        <v>はい</v>
      </c>
      <c r="G37" s="75"/>
      <c r="H37" s="115"/>
      <c r="I37" s="113"/>
      <c r="J37" s="177"/>
      <c r="K37" s="76"/>
      <c r="L37" s="115"/>
      <c r="M37" s="102"/>
      <c r="N37" s="511"/>
      <c r="P37" s="114"/>
      <c r="Q37" s="536"/>
      <c r="R37" s="513"/>
      <c r="S37" s="513"/>
      <c r="T37" s="513"/>
      <c r="U37" s="513"/>
      <c r="V37" s="513"/>
      <c r="W37" s="513"/>
      <c r="X37" s="513"/>
      <c r="Y37" s="513"/>
      <c r="Z37" s="513"/>
      <c r="AA37" s="513"/>
      <c r="AB37" s="513"/>
    </row>
    <row r="38" spans="1:28" s="98" customFormat="1" ht="12.95" customHeight="1" thickBot="1">
      <c r="A38" s="174" t="s">
        <v>327</v>
      </c>
      <c r="B38" s="559" t="str">
        <f>IF(AND(OR(I15&lt;&gt;"その他",I15&lt;&gt;"祖父",I15&lt;&gt;"祖母"),F36="はい"),"　生計維持者２","　配偶者")&amp;"と同居していますか"</f>
        <v>　生計維持者２と同居していますか</v>
      </c>
      <c r="C38" s="560"/>
      <c r="D38" s="565"/>
      <c r="E38" s="63"/>
      <c r="F38" s="58" t="s">
        <v>40</v>
      </c>
      <c r="G38" s="75"/>
      <c r="H38" s="115"/>
      <c r="I38" s="113"/>
      <c r="J38" s="177"/>
      <c r="K38" s="76"/>
      <c r="L38" s="75"/>
      <c r="M38" s="102"/>
      <c r="N38" s="510" t="s">
        <v>1112</v>
      </c>
      <c r="P38" s="114"/>
      <c r="Q38" s="536"/>
      <c r="R38" s="516" t="s">
        <v>1083</v>
      </c>
      <c r="S38" s="513"/>
      <c r="T38" s="513"/>
      <c r="U38" s="513"/>
      <c r="V38" s="513"/>
      <c r="W38" s="513"/>
      <c r="X38" s="513"/>
      <c r="Y38" s="513"/>
      <c r="Z38" s="513"/>
      <c r="AA38" s="513"/>
      <c r="AB38" s="513"/>
    </row>
    <row r="39" spans="1:28" s="98" customFormat="1" ht="12.95" customHeight="1" thickBot="1">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
        <v>1113</v>
      </c>
      <c r="P39" s="114"/>
      <c r="Q39" s="536"/>
      <c r="R39" s="540"/>
      <c r="S39" s="516"/>
      <c r="T39" s="516"/>
      <c r="U39" s="516"/>
      <c r="V39" s="516"/>
      <c r="W39" s="516"/>
      <c r="X39" s="516"/>
      <c r="Y39" s="516"/>
      <c r="Z39" s="516"/>
      <c r="AA39" s="516"/>
      <c r="AB39" s="516"/>
    </row>
    <row r="40" spans="1:28" s="98" customFormat="1" ht="12.95" customHeight="1" thickBot="1">
      <c r="A40" s="175" t="s">
        <v>329</v>
      </c>
      <c r="B40" s="554" t="str">
        <f>IF(計算シート!C67=0,"","申込者本人は")&amp;"ひとり親ですか"</f>
        <v>申込者本人はひとり親ですか</v>
      </c>
      <c r="C40" s="555"/>
      <c r="D40" s="555"/>
      <c r="E40" s="82"/>
      <c r="F40" s="59" t="s">
        <v>929</v>
      </c>
      <c r="G40" s="423"/>
      <c r="H40" s="424"/>
      <c r="I40" s="419"/>
      <c r="J40" s="179"/>
      <c r="K40" s="122"/>
      <c r="L40" s="128"/>
      <c r="M40" s="127"/>
      <c r="N40" s="510"/>
      <c r="P40" s="114"/>
      <c r="Q40" s="536"/>
      <c r="R40" s="540"/>
      <c r="S40" s="516"/>
      <c r="T40" s="516"/>
      <c r="U40" s="516"/>
      <c r="V40" s="516"/>
      <c r="W40" s="516"/>
      <c r="X40" s="516"/>
      <c r="Y40" s="516"/>
      <c r="Z40" s="516"/>
      <c r="AA40" s="516"/>
      <c r="AB40" s="516"/>
    </row>
    <row r="41" spans="1:28" s="146" customFormat="1" ht="3" customHeight="1" thickTop="1" thickBot="1">
      <c r="A41" s="140"/>
      <c r="B41" s="141"/>
      <c r="C41" s="141"/>
      <c r="D41" s="141"/>
      <c r="E41" s="142"/>
      <c r="F41" s="141"/>
      <c r="G41" s="141"/>
      <c r="H41" s="141"/>
      <c r="I41" s="143"/>
      <c r="J41" s="168"/>
      <c r="K41" s="142"/>
      <c r="L41" s="144"/>
      <c r="M41" s="141"/>
      <c r="N41" s="443"/>
      <c r="O41" s="442"/>
      <c r="P41" s="145"/>
      <c r="Q41" s="537"/>
      <c r="R41" s="594" t="s">
        <v>1123</v>
      </c>
      <c r="S41" s="594"/>
      <c r="T41" s="594"/>
      <c r="U41" s="594"/>
      <c r="V41" s="594"/>
      <c r="W41" s="594"/>
      <c r="X41" s="594"/>
      <c r="Y41" s="594"/>
      <c r="Z41" s="594"/>
      <c r="AA41" s="594"/>
      <c r="AB41" s="594"/>
    </row>
    <row r="42" spans="1:28" s="98" customFormat="1" ht="15.6" customHeight="1" thickTop="1" thickBot="1">
      <c r="A42" s="83" t="str">
        <f>IF(計算シート!C67=0,"生計維持者の","")&amp;"収入・所得の情報"</f>
        <v>収入・所得の情報</v>
      </c>
      <c r="B42" s="428"/>
      <c r="C42" s="428"/>
      <c r="D42" s="428"/>
      <c r="E42" s="429"/>
      <c r="F42" s="75"/>
      <c r="G42" s="75"/>
      <c r="H42" s="75"/>
      <c r="I42" s="113"/>
      <c r="J42" s="167"/>
      <c r="K42" s="76"/>
      <c r="L42" s="126" t="str">
        <f>IF(L33="生計維持者１の配偶者","(配偶者の収入・所得の情報）","")</f>
        <v/>
      </c>
      <c r="M42" s="97"/>
      <c r="N42" s="518" t="s">
        <v>1114</v>
      </c>
      <c r="P42" s="114"/>
      <c r="Q42" s="536"/>
      <c r="R42" s="594"/>
      <c r="S42" s="594"/>
      <c r="T42" s="594"/>
      <c r="U42" s="594"/>
      <c r="V42" s="594"/>
      <c r="W42" s="594"/>
      <c r="X42" s="594"/>
      <c r="Y42" s="594"/>
      <c r="Z42" s="594"/>
      <c r="AA42" s="594"/>
      <c r="AB42" s="594"/>
    </row>
    <row r="43" spans="1:28" s="98" customFormat="1" ht="12.95" customHeight="1" thickBot="1">
      <c r="A43" s="173" t="s">
        <v>332</v>
      </c>
      <c r="B43" s="568" t="s">
        <v>272</v>
      </c>
      <c r="C43" s="569"/>
      <c r="D43" s="570"/>
      <c r="E43" s="62"/>
      <c r="F43" s="73" t="s">
        <v>785</v>
      </c>
      <c r="G43" s="75"/>
      <c r="H43" s="425"/>
      <c r="I43" s="113"/>
      <c r="J43" s="176" t="s">
        <v>338</v>
      </c>
      <c r="K43" s="76"/>
      <c r="L43" s="73" t="s">
        <v>49</v>
      </c>
      <c r="M43" s="102"/>
      <c r="N43" s="518" t="s">
        <v>1115</v>
      </c>
      <c r="P43" s="114"/>
      <c r="Q43" s="536"/>
      <c r="R43" s="594"/>
      <c r="S43" s="594"/>
      <c r="T43" s="594"/>
      <c r="U43" s="594"/>
      <c r="V43" s="594"/>
      <c r="W43" s="594"/>
      <c r="X43" s="594"/>
      <c r="Y43" s="594"/>
      <c r="Z43" s="594"/>
      <c r="AA43" s="594"/>
      <c r="AB43" s="594"/>
    </row>
    <row r="44" spans="1:28" s="98" customFormat="1" ht="12.95" customHeight="1" thickBot="1">
      <c r="A44" s="174" t="s">
        <v>333</v>
      </c>
      <c r="B44" s="561" t="s">
        <v>274</v>
      </c>
      <c r="C44" s="562"/>
      <c r="D44" s="562"/>
      <c r="E44" s="430"/>
      <c r="F44" s="200">
        <v>59428</v>
      </c>
      <c r="G44" s="407" t="str">
        <f>MID(F43,SEARCH("(",F43)+1,3)</f>
        <v>USD</v>
      </c>
      <c r="H44" s="426"/>
      <c r="I44" s="113"/>
      <c r="J44" s="178" t="s">
        <v>339</v>
      </c>
      <c r="K44" s="76"/>
      <c r="L44" s="200">
        <v>1030000</v>
      </c>
      <c r="M44" s="100" t="str">
        <f>MID(L43,SEARCH("(",L43)+1,3)</f>
        <v>JPY</v>
      </c>
      <c r="N44" s="519" t="s">
        <v>1116</v>
      </c>
      <c r="P44" s="114"/>
      <c r="Q44" s="536"/>
      <c r="R44" s="594"/>
      <c r="S44" s="594"/>
      <c r="T44" s="594"/>
      <c r="U44" s="594"/>
      <c r="V44" s="594"/>
      <c r="W44" s="594"/>
      <c r="X44" s="594"/>
      <c r="Y44" s="594"/>
      <c r="Z44" s="594"/>
      <c r="AA44" s="594"/>
      <c r="AB44" s="594"/>
    </row>
    <row r="45" spans="1:28" s="98" customFormat="1" ht="12.95" customHeight="1" thickBot="1">
      <c r="A45" s="174" t="s">
        <v>334</v>
      </c>
      <c r="B45" s="561" t="s">
        <v>273</v>
      </c>
      <c r="C45" s="562"/>
      <c r="D45" s="562"/>
      <c r="E45" s="430"/>
      <c r="F45" s="73" t="s">
        <v>785</v>
      </c>
      <c r="G45" s="75"/>
      <c r="H45" s="425"/>
      <c r="I45" s="113"/>
      <c r="J45" s="178" t="s">
        <v>340</v>
      </c>
      <c r="K45" s="76"/>
      <c r="L45" s="73" t="s">
        <v>49</v>
      </c>
      <c r="M45" s="102"/>
      <c r="N45" s="519" t="s">
        <v>1117</v>
      </c>
      <c r="P45" s="114"/>
      <c r="Q45" s="536"/>
      <c r="R45" s="594"/>
      <c r="S45" s="594"/>
      <c r="T45" s="594"/>
      <c r="U45" s="594"/>
      <c r="V45" s="594"/>
      <c r="W45" s="594"/>
      <c r="X45" s="594"/>
      <c r="Y45" s="594"/>
      <c r="Z45" s="594"/>
      <c r="AA45" s="594"/>
      <c r="AB45" s="594"/>
    </row>
    <row r="46" spans="1:28" s="98" customFormat="1" ht="12.95" customHeight="1" thickBot="1">
      <c r="A46" s="174" t="s">
        <v>335</v>
      </c>
      <c r="B46" s="563" t="s">
        <v>275</v>
      </c>
      <c r="C46" s="564"/>
      <c r="D46" s="564"/>
      <c r="E46" s="62"/>
      <c r="F46" s="200">
        <v>0</v>
      </c>
      <c r="G46" s="407" t="str">
        <f>MID(F45,SEARCH("(",F45)+1,3)</f>
        <v>USD</v>
      </c>
      <c r="H46" s="426"/>
      <c r="I46" s="113"/>
      <c r="J46" s="178" t="s">
        <v>341</v>
      </c>
      <c r="K46" s="76"/>
      <c r="L46" s="200">
        <v>0</v>
      </c>
      <c r="M46" s="120" t="str">
        <f>MID(L45,SEARCH("(",L45)+1,3)</f>
        <v>JPY</v>
      </c>
      <c r="N46" s="520" t="s">
        <v>1118</v>
      </c>
      <c r="P46" s="114"/>
      <c r="Q46" s="536"/>
      <c r="R46" s="594"/>
      <c r="S46" s="594"/>
      <c r="T46" s="594"/>
      <c r="U46" s="594"/>
      <c r="V46" s="594"/>
      <c r="W46" s="594"/>
      <c r="X46" s="594"/>
      <c r="Y46" s="594"/>
      <c r="Z46" s="594"/>
      <c r="AA46" s="594"/>
      <c r="AB46" s="594"/>
    </row>
    <row r="47" spans="1:28" s="98" customFormat="1" ht="12.95" customHeight="1" thickBot="1">
      <c r="A47" s="174" t="s">
        <v>336</v>
      </c>
      <c r="B47" s="148" t="s">
        <v>303</v>
      </c>
      <c r="C47" s="369"/>
      <c r="D47" s="369"/>
      <c r="E47" s="433"/>
      <c r="F47" s="73" t="s">
        <v>785</v>
      </c>
      <c r="G47" s="75"/>
      <c r="H47" s="425"/>
      <c r="I47" s="113"/>
      <c r="J47" s="178" t="s">
        <v>342</v>
      </c>
      <c r="K47" s="76"/>
      <c r="L47" s="73" t="s">
        <v>49</v>
      </c>
      <c r="M47" s="121"/>
      <c r="N47" s="520" t="s">
        <v>1119</v>
      </c>
      <c r="P47" s="114"/>
      <c r="Q47" s="536"/>
      <c r="R47" s="594"/>
      <c r="S47" s="594"/>
      <c r="T47" s="594"/>
      <c r="U47" s="594"/>
      <c r="V47" s="594"/>
      <c r="W47" s="594"/>
      <c r="X47" s="594"/>
      <c r="Y47" s="594"/>
      <c r="Z47" s="594"/>
      <c r="AA47" s="594"/>
      <c r="AB47" s="594"/>
    </row>
    <row r="48" spans="1:28" s="98" customFormat="1" ht="12.95" customHeight="1" thickBot="1">
      <c r="A48" s="175" t="s">
        <v>337</v>
      </c>
      <c r="B48" s="432" t="s">
        <v>304</v>
      </c>
      <c r="C48" s="436"/>
      <c r="D48" s="437"/>
      <c r="E48" s="438"/>
      <c r="F48" s="200">
        <v>0</v>
      </c>
      <c r="G48" s="417" t="str">
        <f>MID(F47,SEARCH("(",F47)+1,3)</f>
        <v>USD</v>
      </c>
      <c r="H48" s="427"/>
      <c r="I48" s="419"/>
      <c r="J48" s="180" t="s">
        <v>343</v>
      </c>
      <c r="K48" s="118"/>
      <c r="L48" s="200">
        <v>0</v>
      </c>
      <c r="M48" s="108" t="str">
        <f>MID(L47,SEARCH("(",L47)+1,3)</f>
        <v>JPY</v>
      </c>
      <c r="N48" s="520" t="s">
        <v>1120</v>
      </c>
      <c r="P48" s="114"/>
      <c r="Q48" s="536"/>
      <c r="R48" s="594"/>
      <c r="S48" s="594"/>
      <c r="T48" s="594"/>
      <c r="U48" s="594"/>
      <c r="V48" s="594"/>
      <c r="W48" s="594"/>
      <c r="X48" s="594"/>
      <c r="Y48" s="594"/>
      <c r="Z48" s="594"/>
      <c r="AA48" s="594"/>
      <c r="AB48" s="594"/>
    </row>
    <row r="49" spans="1:28" s="98" customFormat="1" ht="3" customHeight="1" thickTop="1" thickBot="1">
      <c r="A49" s="169"/>
      <c r="B49" s="78"/>
      <c r="C49" s="78"/>
      <c r="D49" s="78"/>
      <c r="E49" s="84"/>
      <c r="F49" s="78"/>
      <c r="G49" s="119"/>
      <c r="H49" s="78"/>
      <c r="I49" s="119"/>
      <c r="J49" s="169"/>
      <c r="K49" s="84"/>
      <c r="L49" s="78"/>
      <c r="M49" s="78"/>
      <c r="N49" s="78"/>
      <c r="O49" s="78"/>
      <c r="P49" s="114"/>
      <c r="Q49" s="536"/>
      <c r="R49" s="594" t="s">
        <v>1098</v>
      </c>
      <c r="S49" s="594"/>
      <c r="T49" s="594"/>
      <c r="U49" s="594"/>
      <c r="V49" s="594"/>
      <c r="W49" s="594"/>
      <c r="X49" s="594"/>
      <c r="Y49" s="594"/>
      <c r="Z49" s="594"/>
      <c r="AA49" s="594"/>
      <c r="AB49" s="594"/>
    </row>
    <row r="50" spans="1:28" s="98" customFormat="1" ht="15.6" customHeight="1" thickTop="1" thickBot="1">
      <c r="A50" s="410" t="str">
        <f>IF(計算シート!C67=0,"生計維持者の","")&amp;"扶養の情報（本人や他の生計維持者、配偶者は含めないでください）"</f>
        <v>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c r="Q50" s="536"/>
      <c r="R50" s="594"/>
      <c r="S50" s="594"/>
      <c r="T50" s="594"/>
      <c r="U50" s="594"/>
      <c r="V50" s="594"/>
      <c r="W50" s="594"/>
      <c r="X50" s="594"/>
      <c r="Y50" s="594"/>
      <c r="Z50" s="594"/>
      <c r="AA50" s="594"/>
      <c r="AB50" s="594"/>
    </row>
    <row r="51" spans="1:28" s="98" customFormat="1" ht="12.95" customHeight="1" thickBot="1">
      <c r="A51" s="174" t="s">
        <v>344</v>
      </c>
      <c r="B51" s="559" t="s">
        <v>0</v>
      </c>
      <c r="C51" s="560"/>
      <c r="D51" s="560"/>
      <c r="E51" s="430"/>
      <c r="F51" s="58">
        <v>0</v>
      </c>
      <c r="G51" s="412" t="s">
        <v>48</v>
      </c>
      <c r="H51" s="486" t="s">
        <v>938</v>
      </c>
      <c r="I51" s="113"/>
      <c r="J51" s="176" t="s">
        <v>353</v>
      </c>
      <c r="K51" s="76"/>
      <c r="L51" s="58">
        <v>0</v>
      </c>
      <c r="M51" s="412" t="s">
        <v>48</v>
      </c>
      <c r="N51" s="444" t="s">
        <v>1121</v>
      </c>
      <c r="O51" s="102"/>
      <c r="P51" s="114"/>
      <c r="Q51" s="536"/>
      <c r="R51" s="594"/>
      <c r="S51" s="594"/>
      <c r="T51" s="594"/>
      <c r="U51" s="594"/>
      <c r="V51" s="594"/>
      <c r="W51" s="594"/>
      <c r="X51" s="594"/>
      <c r="Y51" s="594"/>
      <c r="Z51" s="594"/>
      <c r="AA51" s="594"/>
      <c r="AB51" s="594"/>
    </row>
    <row r="52" spans="1:28" s="98" customFormat="1" ht="12.95" customHeight="1" thickBot="1">
      <c r="A52" s="174" t="s">
        <v>345</v>
      </c>
      <c r="B52" s="559" t="s">
        <v>1</v>
      </c>
      <c r="C52" s="560"/>
      <c r="D52" s="560"/>
      <c r="E52" s="430"/>
      <c r="F52" s="58">
        <v>0</v>
      </c>
      <c r="G52" s="412" t="s">
        <v>48</v>
      </c>
      <c r="H52" s="487" t="s">
        <v>939</v>
      </c>
      <c r="I52" s="113"/>
      <c r="J52" s="178" t="s">
        <v>354</v>
      </c>
      <c r="K52" s="76"/>
      <c r="L52" s="58">
        <v>0</v>
      </c>
      <c r="M52" s="412" t="s">
        <v>48</v>
      </c>
      <c r="N52" s="445" t="s">
        <v>1122</v>
      </c>
      <c r="O52" s="102"/>
      <c r="P52" s="114"/>
      <c r="Q52" s="536"/>
      <c r="R52" s="594"/>
      <c r="S52" s="594"/>
      <c r="T52" s="594"/>
      <c r="U52" s="594"/>
      <c r="V52" s="594"/>
      <c r="W52" s="594"/>
      <c r="X52" s="594"/>
      <c r="Y52" s="594"/>
      <c r="Z52" s="594"/>
      <c r="AA52" s="594"/>
      <c r="AB52" s="594"/>
    </row>
    <row r="53" spans="1:28" s="98" customFormat="1" ht="12.95" customHeight="1" thickBot="1">
      <c r="A53" s="174" t="s">
        <v>346</v>
      </c>
      <c r="B53" s="559" t="s">
        <v>2</v>
      </c>
      <c r="C53" s="560"/>
      <c r="D53" s="560"/>
      <c r="E53" s="430"/>
      <c r="F53" s="58">
        <v>0</v>
      </c>
      <c r="G53" s="412" t="s">
        <v>48</v>
      </c>
      <c r="H53" s="487" t="s">
        <v>937</v>
      </c>
      <c r="I53" s="113"/>
      <c r="J53" s="178" t="s">
        <v>355</v>
      </c>
      <c r="K53" s="76"/>
      <c r="L53" s="58">
        <v>0</v>
      </c>
      <c r="M53" s="446" t="s">
        <v>48</v>
      </c>
      <c r="N53" s="445" t="s">
        <v>937</v>
      </c>
      <c r="O53" s="102"/>
      <c r="P53" s="114"/>
      <c r="Q53" s="536"/>
      <c r="R53" s="594" t="s">
        <v>1099</v>
      </c>
      <c r="S53" s="594"/>
      <c r="T53" s="594"/>
      <c r="U53" s="594"/>
      <c r="V53" s="594"/>
      <c r="W53" s="594"/>
      <c r="X53" s="594"/>
      <c r="Y53" s="594"/>
      <c r="Z53" s="594"/>
      <c r="AA53" s="594"/>
      <c r="AB53" s="594"/>
    </row>
    <row r="54" spans="1:28" s="98" customFormat="1" ht="12.95" customHeight="1" thickBot="1">
      <c r="A54" s="174" t="s">
        <v>347</v>
      </c>
      <c r="B54" s="559" t="s">
        <v>3</v>
      </c>
      <c r="C54" s="560"/>
      <c r="D54" s="560"/>
      <c r="E54" s="430"/>
      <c r="F54" s="58">
        <v>3</v>
      </c>
      <c r="G54" s="416" t="s">
        <v>48</v>
      </c>
      <c r="H54" s="58">
        <v>2</v>
      </c>
      <c r="I54" s="414" t="s">
        <v>48</v>
      </c>
      <c r="J54" s="178" t="s">
        <v>356</v>
      </c>
      <c r="K54" s="76"/>
      <c r="L54" s="58">
        <v>0</v>
      </c>
      <c r="M54" s="447" t="s">
        <v>48</v>
      </c>
      <c r="N54" s="58">
        <v>0</v>
      </c>
      <c r="O54" s="448" t="s">
        <v>48</v>
      </c>
      <c r="P54" s="114"/>
      <c r="Q54" s="536"/>
      <c r="R54" s="594"/>
      <c r="S54" s="594"/>
      <c r="T54" s="594"/>
      <c r="U54" s="594"/>
      <c r="V54" s="594"/>
      <c r="W54" s="594"/>
      <c r="X54" s="594"/>
      <c r="Y54" s="594"/>
      <c r="Z54" s="594"/>
      <c r="AA54" s="594"/>
      <c r="AB54" s="594"/>
    </row>
    <row r="55" spans="1:28" s="98" customFormat="1" ht="12.95" customHeight="1" thickBot="1">
      <c r="A55" s="174" t="s">
        <v>348</v>
      </c>
      <c r="B55" s="559" t="s">
        <v>4</v>
      </c>
      <c r="C55" s="560"/>
      <c r="D55" s="560"/>
      <c r="E55" s="430"/>
      <c r="F55" s="58">
        <v>0</v>
      </c>
      <c r="G55" s="416" t="s">
        <v>48</v>
      </c>
      <c r="H55" s="512" t="s">
        <v>1073</v>
      </c>
      <c r="I55" s="415"/>
      <c r="J55" s="178" t="s">
        <v>357</v>
      </c>
      <c r="K55" s="76"/>
      <c r="L55" s="58">
        <v>0</v>
      </c>
      <c r="M55" s="407" t="s">
        <v>48</v>
      </c>
      <c r="N55" s="512" t="str">
        <f>IF(F36="はい","(項番42の内数)","")</f>
        <v>(項番42の内数)</v>
      </c>
      <c r="O55" s="102"/>
      <c r="P55" s="114"/>
      <c r="Q55" s="536"/>
      <c r="R55" s="594"/>
      <c r="S55" s="594"/>
      <c r="T55" s="594"/>
      <c r="U55" s="594"/>
      <c r="V55" s="594"/>
      <c r="W55" s="594"/>
      <c r="X55" s="594"/>
      <c r="Y55" s="594"/>
      <c r="Z55" s="594"/>
      <c r="AA55" s="594"/>
      <c r="AB55" s="594"/>
    </row>
    <row r="56" spans="1:28" s="98" customFormat="1" ht="12.95" customHeight="1" thickBot="1">
      <c r="A56" s="174" t="s">
        <v>349</v>
      </c>
      <c r="B56" s="559" t="s">
        <v>5</v>
      </c>
      <c r="C56" s="560"/>
      <c r="D56" s="560"/>
      <c r="E56" s="430"/>
      <c r="F56" s="58">
        <v>0</v>
      </c>
      <c r="G56" s="418" t="s">
        <v>48</v>
      </c>
      <c r="H56" s="115"/>
      <c r="I56" s="113"/>
      <c r="J56" s="178" t="s">
        <v>358</v>
      </c>
      <c r="K56" s="76"/>
      <c r="L56" s="58">
        <v>0</v>
      </c>
      <c r="M56" s="407" t="s">
        <v>48</v>
      </c>
      <c r="N56" s="115"/>
      <c r="O56" s="102"/>
      <c r="P56" s="114"/>
      <c r="Q56" s="536"/>
      <c r="R56" s="594"/>
      <c r="S56" s="594"/>
      <c r="T56" s="594"/>
      <c r="U56" s="594"/>
      <c r="V56" s="594"/>
      <c r="W56" s="594"/>
      <c r="X56" s="594"/>
      <c r="Y56" s="594"/>
      <c r="Z56" s="594"/>
      <c r="AA56" s="594"/>
      <c r="AB56" s="594"/>
    </row>
    <row r="57" spans="1:28" s="98" customFormat="1" ht="12.95" customHeight="1" thickBot="1">
      <c r="A57" s="174" t="s">
        <v>350</v>
      </c>
      <c r="B57" s="559" t="s">
        <v>299</v>
      </c>
      <c r="C57" s="560"/>
      <c r="D57" s="560"/>
      <c r="E57" s="430"/>
      <c r="F57" s="58">
        <v>0</v>
      </c>
      <c r="G57" s="418" t="s">
        <v>48</v>
      </c>
      <c r="H57" s="115"/>
      <c r="I57" s="113"/>
      <c r="J57" s="178" t="s">
        <v>359</v>
      </c>
      <c r="K57" s="76"/>
      <c r="L57" s="58">
        <v>0</v>
      </c>
      <c r="M57" s="407" t="s">
        <v>48</v>
      </c>
      <c r="N57" s="115"/>
      <c r="O57" s="102"/>
      <c r="P57" s="114"/>
      <c r="Q57" s="536"/>
      <c r="R57" s="594"/>
      <c r="S57" s="594"/>
      <c r="T57" s="594"/>
      <c r="U57" s="594"/>
      <c r="V57" s="594"/>
      <c r="W57" s="594"/>
      <c r="X57" s="594"/>
      <c r="Y57" s="594"/>
      <c r="Z57" s="594"/>
      <c r="AA57" s="594"/>
      <c r="AB57" s="594"/>
    </row>
    <row r="58" spans="1:28" s="98" customFormat="1" ht="12.95" customHeight="1" thickBot="1">
      <c r="A58" s="174" t="s">
        <v>351</v>
      </c>
      <c r="B58" s="559" t="s">
        <v>300</v>
      </c>
      <c r="C58" s="560"/>
      <c r="D58" s="560"/>
      <c r="E58" s="435"/>
      <c r="F58" s="58">
        <v>0</v>
      </c>
      <c r="G58" s="418" t="s">
        <v>48</v>
      </c>
      <c r="H58" s="115"/>
      <c r="I58" s="113"/>
      <c r="J58" s="178" t="s">
        <v>360</v>
      </c>
      <c r="K58" s="76"/>
      <c r="L58" s="58">
        <v>0</v>
      </c>
      <c r="M58" s="407" t="s">
        <v>48</v>
      </c>
      <c r="N58" s="115"/>
      <c r="O58" s="102"/>
      <c r="P58" s="114"/>
      <c r="Q58" s="536"/>
      <c r="R58" s="594" t="s">
        <v>1084</v>
      </c>
      <c r="S58" s="594"/>
      <c r="T58" s="594"/>
      <c r="U58" s="594"/>
      <c r="V58" s="594"/>
      <c r="W58" s="594"/>
      <c r="X58" s="594"/>
      <c r="Y58" s="594"/>
      <c r="Z58" s="594"/>
      <c r="AA58" s="594"/>
      <c r="AB58" s="594"/>
    </row>
    <row r="59" spans="1:28" s="98" customFormat="1" ht="12.95" customHeight="1" thickBot="1">
      <c r="A59" s="175" t="s">
        <v>352</v>
      </c>
      <c r="B59" s="554" t="s">
        <v>301</v>
      </c>
      <c r="C59" s="555"/>
      <c r="D59" s="555"/>
      <c r="E59" s="82"/>
      <c r="F59" s="58">
        <v>0</v>
      </c>
      <c r="G59" s="417" t="s">
        <v>48</v>
      </c>
      <c r="H59" s="420"/>
      <c r="I59" s="419"/>
      <c r="J59" s="181" t="s">
        <v>361</v>
      </c>
      <c r="K59" s="118"/>
      <c r="L59" s="58">
        <v>0</v>
      </c>
      <c r="M59" s="417" t="s">
        <v>48</v>
      </c>
      <c r="N59" s="420"/>
      <c r="O59" s="127"/>
      <c r="P59" s="114"/>
      <c r="Q59" s="536"/>
      <c r="R59" s="594"/>
      <c r="S59" s="594"/>
      <c r="T59" s="594"/>
      <c r="U59" s="594"/>
      <c r="V59" s="594"/>
      <c r="W59" s="594"/>
      <c r="X59" s="594"/>
      <c r="Y59" s="594"/>
      <c r="Z59" s="594"/>
      <c r="AA59" s="594"/>
      <c r="AB59" s="594"/>
    </row>
    <row r="60" spans="1:28" ht="3" customHeight="1" thickTop="1">
      <c r="E60" s="65"/>
      <c r="F60" s="66"/>
      <c r="G60" s="67"/>
      <c r="H60" s="66"/>
      <c r="I60" s="67"/>
      <c r="K60" s="65"/>
      <c r="L60" s="68"/>
      <c r="M60" s="68"/>
      <c r="N60" s="68"/>
      <c r="O60" s="68"/>
      <c r="P60" s="67"/>
      <c r="Q60" s="535"/>
      <c r="R60" s="594"/>
      <c r="S60" s="594"/>
      <c r="T60" s="594"/>
      <c r="U60" s="594"/>
      <c r="V60" s="594"/>
      <c r="W60" s="594"/>
      <c r="X60" s="594"/>
      <c r="Y60" s="594"/>
      <c r="Z60" s="594"/>
      <c r="AA60" s="594"/>
      <c r="AB60" s="594"/>
    </row>
    <row r="61" spans="1:28" ht="3.75" customHeight="1">
      <c r="Q61" s="535"/>
      <c r="R61" s="594"/>
      <c r="S61" s="594"/>
      <c r="T61" s="594"/>
      <c r="U61" s="594"/>
      <c r="V61" s="594"/>
      <c r="W61" s="594"/>
      <c r="X61" s="594"/>
      <c r="Y61" s="594"/>
      <c r="Z61" s="594"/>
      <c r="AA61" s="594"/>
      <c r="AB61" s="594"/>
    </row>
    <row r="62" spans="1:28">
      <c r="B62" t="s">
        <v>307</v>
      </c>
      <c r="Q62" s="535"/>
      <c r="R62" s="514" t="s">
        <v>613</v>
      </c>
      <c r="S62" s="513"/>
      <c r="T62" s="513"/>
      <c r="U62" s="513"/>
      <c r="V62" s="513"/>
      <c r="W62" s="513"/>
      <c r="X62" s="513"/>
      <c r="Y62" s="513"/>
      <c r="Z62" s="513"/>
      <c r="AA62" s="513"/>
      <c r="AB62" s="513"/>
    </row>
    <row r="63" spans="1:28" ht="13.5" customHeight="1">
      <c r="B63" s="9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94"/>
      <c r="D63" s="94"/>
      <c r="E63" s="94"/>
      <c r="F63" s="94"/>
      <c r="Q63" s="535"/>
      <c r="R63" s="594" t="s">
        <v>624</v>
      </c>
      <c r="S63" s="594"/>
      <c r="T63" s="594"/>
      <c r="U63" s="594"/>
      <c r="V63" s="594"/>
      <c r="W63" s="594"/>
      <c r="X63" s="594"/>
      <c r="Y63" s="594"/>
      <c r="Z63" s="594"/>
      <c r="AA63" s="594"/>
      <c r="AB63" s="594"/>
    </row>
    <row r="64" spans="1:28" ht="13.5" customHeight="1">
      <c r="B64" s="9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95"/>
      <c r="D64" s="95"/>
      <c r="E64" s="95"/>
      <c r="F64" s="95"/>
      <c r="Q64" s="535"/>
      <c r="R64" s="594"/>
      <c r="S64" s="594"/>
      <c r="T64" s="594"/>
      <c r="U64" s="594"/>
      <c r="V64" s="594"/>
      <c r="W64" s="594"/>
      <c r="X64" s="594"/>
      <c r="Y64" s="594"/>
      <c r="Z64" s="594"/>
      <c r="AA64" s="594"/>
      <c r="AB64" s="594"/>
    </row>
    <row r="65" spans="1:28">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c r="Q65" s="535"/>
      <c r="R65" s="594"/>
      <c r="S65" s="594"/>
      <c r="T65" s="594"/>
      <c r="U65" s="594"/>
      <c r="V65" s="594"/>
      <c r="W65" s="594"/>
      <c r="X65" s="594"/>
      <c r="Y65" s="594"/>
      <c r="Z65" s="594"/>
      <c r="AA65" s="594"/>
      <c r="AB65" s="594"/>
    </row>
    <row r="66" spans="1:28">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c r="Q66" s="535"/>
      <c r="R66" s="594"/>
      <c r="S66" s="594"/>
      <c r="T66" s="594"/>
      <c r="U66" s="594"/>
      <c r="V66" s="594"/>
      <c r="W66" s="594"/>
      <c r="X66" s="594"/>
      <c r="Y66" s="594"/>
      <c r="Z66" s="594"/>
      <c r="AA66" s="594"/>
      <c r="AB66" s="594"/>
    </row>
    <row r="67" spans="1:28" ht="13.5" customHeight="1">
      <c r="B67" s="149" t="s">
        <v>410</v>
      </c>
      <c r="C67" s="149"/>
      <c r="D67" s="149"/>
      <c r="E67" s="149"/>
      <c r="F67" s="149"/>
      <c r="G67" s="150"/>
      <c r="H67" s="150"/>
      <c r="I67" s="150"/>
      <c r="J67" s="150"/>
      <c r="K67" s="150"/>
      <c r="L67" s="150"/>
      <c r="M67" s="150"/>
      <c r="N67" s="150"/>
      <c r="Q67" s="535"/>
      <c r="R67" s="594" t="s">
        <v>1100</v>
      </c>
      <c r="S67" s="594"/>
      <c r="T67" s="594"/>
      <c r="U67" s="594"/>
      <c r="V67" s="594"/>
      <c r="W67" s="594"/>
      <c r="X67" s="594"/>
      <c r="Y67" s="594"/>
      <c r="Z67" s="594"/>
      <c r="AA67" s="594"/>
      <c r="AB67" s="594"/>
    </row>
    <row r="68" spans="1:28" ht="10.5" customHeight="1">
      <c r="A68" s="57"/>
      <c r="B68" s="196" t="s">
        <v>302</v>
      </c>
      <c r="C68" s="196"/>
      <c r="D68" s="196"/>
      <c r="E68" s="196"/>
      <c r="F68" s="196"/>
      <c r="G68" s="57"/>
      <c r="H68" s="57"/>
      <c r="I68" s="57"/>
      <c r="J68" s="57"/>
      <c r="K68" s="57"/>
      <c r="L68" s="57"/>
      <c r="M68" s="57"/>
      <c r="N68" s="57"/>
      <c r="O68" s="57"/>
      <c r="P68" s="57"/>
      <c r="Q68" s="535"/>
      <c r="R68" s="594"/>
      <c r="S68" s="594"/>
      <c r="T68" s="594"/>
      <c r="U68" s="594"/>
      <c r="V68" s="594"/>
      <c r="W68" s="594"/>
      <c r="X68" s="594"/>
      <c r="Y68" s="594"/>
      <c r="Z68" s="594"/>
      <c r="AA68" s="594"/>
      <c r="AB68" s="594"/>
    </row>
    <row r="69" spans="1:28" ht="13.5" customHeight="1">
      <c r="A69" s="57"/>
      <c r="B69"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35"/>
      <c r="R69" s="594"/>
      <c r="S69" s="594"/>
      <c r="T69" s="594"/>
      <c r="U69" s="594"/>
      <c r="V69" s="594"/>
      <c r="W69" s="594"/>
      <c r="X69" s="594"/>
      <c r="Y69" s="594"/>
      <c r="Z69" s="594"/>
      <c r="AA69" s="594"/>
      <c r="AB69" s="594"/>
    </row>
    <row r="70" spans="1:28" ht="13.5" customHeight="1">
      <c r="A70" s="57"/>
      <c r="B70"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35"/>
      <c r="R70" s="594"/>
      <c r="S70" s="594"/>
      <c r="T70" s="594"/>
      <c r="U70" s="594"/>
      <c r="V70" s="594"/>
      <c r="W70" s="594"/>
      <c r="X70" s="594"/>
      <c r="Y70" s="594"/>
      <c r="Z70" s="594"/>
      <c r="AA70" s="594"/>
      <c r="AB70" s="594"/>
    </row>
    <row r="71" spans="1:28" ht="13.5" customHeight="1">
      <c r="A71" s="139"/>
      <c r="B71" s="197" t="s">
        <v>411</v>
      </c>
      <c r="C71" s="197"/>
      <c r="D71" s="197"/>
      <c r="E71" s="197"/>
      <c r="F71" s="197"/>
      <c r="G71" s="139"/>
      <c r="H71" s="139"/>
      <c r="I71" s="139"/>
      <c r="J71" s="139"/>
      <c r="K71" s="139"/>
      <c r="L71" s="139"/>
      <c r="M71" s="139"/>
      <c r="N71" s="139"/>
      <c r="O71" s="139"/>
      <c r="P71" s="139"/>
      <c r="Q71" s="538"/>
      <c r="R71" s="594" t="s">
        <v>625</v>
      </c>
      <c r="S71" s="594"/>
      <c r="T71" s="594"/>
      <c r="U71" s="594"/>
      <c r="V71" s="594"/>
      <c r="W71" s="594"/>
      <c r="X71" s="594"/>
      <c r="Y71" s="594"/>
      <c r="Z71" s="594"/>
      <c r="AA71" s="594"/>
      <c r="AB71" s="594"/>
    </row>
    <row r="72" spans="1:28">
      <c r="B72" s="92" t="s">
        <v>298</v>
      </c>
      <c r="C72" s="92"/>
      <c r="D72" s="92"/>
      <c r="E72" s="92"/>
      <c r="F72" s="92"/>
      <c r="Q72" s="535"/>
      <c r="R72" s="594"/>
      <c r="S72" s="594"/>
      <c r="T72" s="594"/>
      <c r="U72" s="594"/>
      <c r="V72" s="594"/>
      <c r="W72" s="594"/>
      <c r="X72" s="594"/>
      <c r="Y72" s="594"/>
      <c r="Z72" s="594"/>
      <c r="AA72" s="594"/>
      <c r="AB72" s="594"/>
    </row>
    <row r="73" spans="1:28" ht="10.5" customHeight="1">
      <c r="A73" s="91"/>
      <c r="B73" s="129" t="s">
        <v>390</v>
      </c>
      <c r="C73" s="499">
        <v>0</v>
      </c>
      <c r="D73" s="500"/>
      <c r="E73" s="408"/>
      <c r="F73" s="467"/>
      <c r="G73" s="497" t="s">
        <v>943</v>
      </c>
      <c r="H73" s="503">
        <v>2</v>
      </c>
      <c r="I73" s="549" t="s">
        <v>945</v>
      </c>
      <c r="J73" s="550"/>
      <c r="K73" s="459">
        <v>0</v>
      </c>
      <c r="L73" s="489"/>
      <c r="M73" s="489"/>
      <c r="N73" s="489"/>
      <c r="O73" s="489"/>
      <c r="Q73" s="535"/>
      <c r="R73" s="332" t="s">
        <v>418</v>
      </c>
      <c r="S73" s="203"/>
      <c r="T73" s="203"/>
      <c r="U73" s="203"/>
      <c r="V73" s="203"/>
      <c r="W73" s="203"/>
      <c r="X73" s="203"/>
      <c r="Y73" s="203"/>
      <c r="Z73" s="203"/>
      <c r="AA73" s="203"/>
      <c r="AB73" s="203"/>
    </row>
    <row r="74" spans="1:28" ht="10.5" customHeight="1">
      <c r="A74" s="93"/>
      <c r="B74" s="133" t="s">
        <v>391</v>
      </c>
      <c r="C74" s="501">
        <v>226700</v>
      </c>
      <c r="D74" s="502">
        <v>0</v>
      </c>
      <c r="E74" s="134"/>
      <c r="F74" s="468"/>
      <c r="G74" s="498" t="s">
        <v>944</v>
      </c>
      <c r="H74" s="504">
        <v>1</v>
      </c>
      <c r="I74" s="196"/>
      <c r="J74" s="196"/>
      <c r="K74" s="196"/>
      <c r="L74" s="452"/>
      <c r="M74" s="452"/>
      <c r="N74" s="452"/>
      <c r="O74" s="196"/>
      <c r="P74" s="57"/>
      <c r="Q74" s="535"/>
      <c r="R74" s="517" t="s">
        <v>626</v>
      </c>
      <c r="S74" s="203"/>
      <c r="T74" s="203"/>
      <c r="U74" s="203"/>
      <c r="V74" s="203"/>
      <c r="W74" s="203"/>
      <c r="X74" s="203"/>
      <c r="Y74" s="203"/>
      <c r="Z74" s="203"/>
      <c r="AA74" s="203"/>
      <c r="AB74" s="203"/>
    </row>
    <row r="75" spans="1:28" ht="10.5" hidden="1" customHeight="1">
      <c r="B75" s="151" t="s">
        <v>392</v>
      </c>
      <c r="C75" s="153">
        <f>IF(計算シート!C62=0,計算シート!C41,計算シート!C61)</f>
        <v>0</v>
      </c>
      <c r="D75" s="152">
        <f>IF(計算シート!C62=0,計算シート!D41,計算シート!D61)</f>
        <v>0</v>
      </c>
      <c r="E75" s="152"/>
      <c r="F75" s="457"/>
      <c r="I75" s="453"/>
      <c r="J75" s="453"/>
      <c r="K75" s="453"/>
      <c r="L75" s="57"/>
      <c r="M75" s="454"/>
      <c r="N75" s="454"/>
      <c r="O75" s="453"/>
      <c r="P75" s="57"/>
      <c r="Q75" s="539"/>
      <c r="S75" s="373"/>
      <c r="T75" s="373"/>
      <c r="U75" s="373"/>
      <c r="V75" s="373"/>
      <c r="W75" s="373"/>
      <c r="X75" s="373"/>
      <c r="Y75" s="373"/>
      <c r="Z75" s="373"/>
      <c r="AA75" s="373"/>
      <c r="AB75" s="373"/>
    </row>
    <row r="76" spans="1:28" ht="10.5" hidden="1" customHeight="1">
      <c r="B76" s="157" t="s">
        <v>393</v>
      </c>
      <c r="C76" s="159" t="str">
        <f>IF(計算シート!C62=0,計算シート!C42,"-")</f>
        <v>-</v>
      </c>
      <c r="D76" s="488" t="str">
        <f>IF(計算シート!C62=0,計算シート!D42,"-")</f>
        <v>-</v>
      </c>
      <c r="E76" s="158"/>
      <c r="F76" s="458"/>
      <c r="H76" s="159"/>
      <c r="I76" s="453"/>
      <c r="J76" s="453"/>
      <c r="K76" s="453"/>
      <c r="L76" s="57"/>
      <c r="M76" s="454"/>
      <c r="N76" s="454"/>
      <c r="O76" s="453"/>
      <c r="Q76" s="535"/>
      <c r="S76" s="373"/>
      <c r="T76" s="373"/>
      <c r="U76" s="373"/>
      <c r="V76" s="373"/>
      <c r="W76" s="373"/>
      <c r="X76" s="373"/>
      <c r="Y76" s="373"/>
      <c r="Z76" s="373"/>
      <c r="AA76" s="373"/>
      <c r="AB76" s="373"/>
    </row>
  </sheetData>
  <sheetProtection selectLockedCells="1"/>
  <protectedRanges>
    <protectedRange sqref="D10:E18 F24:F31 F35:F40 H11:H12 F43:F48 F51:F59 L51:L59 L8:N8 H51:H59 H43:H48 H35:H40 L35:L39 L43:L48 I13:I14 N10:N14 L10:M12 G15:G18 N37 N44:N48 N51:N59" name="範囲1"/>
  </protectedRanges>
  <mergeCells count="68">
    <mergeCell ref="R67:AB70"/>
    <mergeCell ref="R71:AB72"/>
    <mergeCell ref="R30:AB33"/>
    <mergeCell ref="R53:AB57"/>
    <mergeCell ref="R4:AB7"/>
    <mergeCell ref="R8:AB9"/>
    <mergeCell ref="R20:AB24"/>
    <mergeCell ref="R58:AB61"/>
    <mergeCell ref="R63:AB66"/>
    <mergeCell ref="R15:AB19"/>
    <mergeCell ref="R10:AB14"/>
    <mergeCell ref="R41:AB48"/>
    <mergeCell ref="R49:AB52"/>
    <mergeCell ref="B56:D56"/>
    <mergeCell ref="B57:D57"/>
    <mergeCell ref="B58:D58"/>
    <mergeCell ref="B59:D59"/>
    <mergeCell ref="I73:J73"/>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4:D54"/>
    <mergeCell ref="B55:D55"/>
    <mergeCell ref="B38:D38"/>
    <mergeCell ref="B39:D39"/>
    <mergeCell ref="B40:D40"/>
    <mergeCell ref="B43:D43"/>
    <mergeCell ref="B44:D44"/>
    <mergeCell ref="B45:D45"/>
    <mergeCell ref="J29:M29"/>
    <mergeCell ref="K17:N17"/>
    <mergeCell ref="B23:D23"/>
    <mergeCell ref="B24:D24"/>
    <mergeCell ref="B25:D25"/>
    <mergeCell ref="B26:D26"/>
    <mergeCell ref="J26:M26"/>
    <mergeCell ref="D15:F15"/>
    <mergeCell ref="G15:H15"/>
    <mergeCell ref="I15:J15"/>
    <mergeCell ref="D17:F17"/>
    <mergeCell ref="G17:H17"/>
    <mergeCell ref="I17:J17"/>
    <mergeCell ref="H10:K10"/>
    <mergeCell ref="L10:N10"/>
    <mergeCell ref="D11:F11"/>
    <mergeCell ref="J11:N11"/>
    <mergeCell ref="D13:F13"/>
    <mergeCell ref="G13:H13"/>
    <mergeCell ref="I13:L13"/>
    <mergeCell ref="L9:N9"/>
    <mergeCell ref="A1:O1"/>
    <mergeCell ref="O2:Q3"/>
    <mergeCell ref="B5:O6"/>
    <mergeCell ref="H8:K8"/>
    <mergeCell ref="L8:N8"/>
  </mergeCells>
  <phoneticPr fontId="2"/>
  <conditionalFormatting sqref="H11">
    <cfRule type="expression" dxfId="56" priority="21">
      <formula>$C$11="申込受付番号"</formula>
    </cfRule>
  </conditionalFormatting>
  <conditionalFormatting sqref="B40 H40:I40 E40:F40 L40">
    <cfRule type="expression" dxfId="55" priority="23">
      <formula>$F$36="はい"</formula>
    </cfRule>
  </conditionalFormatting>
  <conditionalFormatting sqref="K51:L59 H37:I38 E37:F38 B37:B38 K34:M40 K42:M48">
    <cfRule type="expression" dxfId="54" priority="24">
      <formula>$F$36="いいえ"</formula>
    </cfRule>
  </conditionalFormatting>
  <conditionalFormatting sqref="L74:O74 M75:O76 F75:F76">
    <cfRule type="expression" dxfId="53" priority="25">
      <formula>OR($F$36="いいえ",$F$37="いいえ")</formula>
    </cfRule>
  </conditionalFormatting>
  <conditionalFormatting sqref="B28:B31 E28:G31">
    <cfRule type="expression" dxfId="52" priority="26">
      <formula>$F$27="いいえ"</formula>
    </cfRule>
  </conditionalFormatting>
  <conditionalFormatting sqref="B26 E26:F26">
    <cfRule type="expression" dxfId="51" priority="27">
      <formula>$F$25&lt;&gt;"特別の障がい者である"</formula>
    </cfRule>
  </conditionalFormatting>
  <conditionalFormatting sqref="G40">
    <cfRule type="expression" dxfId="50" priority="11">
      <formula>$F$36="はい"</formula>
    </cfRule>
  </conditionalFormatting>
  <conditionalFormatting sqref="G37:G38">
    <cfRule type="expression" dxfId="49" priority="12">
      <formula>$F$36="いいえ"</formula>
    </cfRule>
  </conditionalFormatting>
  <conditionalFormatting sqref="M51:M59">
    <cfRule type="expression" dxfId="48" priority="10">
      <formula>$F$36="いいえ"</formula>
    </cfRule>
  </conditionalFormatting>
  <conditionalFormatting sqref="N51:O54">
    <cfRule type="expression" dxfId="47" priority="9">
      <formula>$F$36="いいえ"</formula>
    </cfRule>
  </conditionalFormatting>
  <conditionalFormatting sqref="B17:K17">
    <cfRule type="expression" dxfId="46" priority="7">
      <formula>$I$15="その他"</formula>
    </cfRule>
  </conditionalFormatting>
  <dataValidations count="7">
    <dataValidation type="decimal" allowBlank="1" showInputMessage="1" showErrorMessage="1" sqref="F29">
      <formula1>0</formula1>
      <formula2>9.99999999999999E+23</formula2>
    </dataValidation>
    <dataValidation type="whole" allowBlank="1" showInputMessage="1" showErrorMessage="1" sqref="D10:E10">
      <formula1>2000</formula1>
      <formula2>9999</formula2>
    </dataValidation>
    <dataValidation type="date" allowBlank="1" showInputMessage="1" showErrorMessage="1" sqref="N13:N14 I13:I14 L8">
      <formula1>1</formula1>
      <formula2>401404</formula2>
    </dataValidation>
    <dataValidation type="decimal" allowBlank="1" showInputMessage="1" showErrorMessage="1" sqref="H48 F31 N48 F48 L48">
      <formula1>-999999999999999000000</formula1>
      <formula2>999999999999999000000</formula2>
    </dataValidation>
    <dataValidation type="date" allowBlank="1" showInputMessage="1" showErrorMessage="1" sqref="H35 F35 L35">
      <formula1>1</formula1>
      <formula2>73051</formula2>
    </dataValidation>
    <dataValidation type="decimal" allowBlank="1" showInputMessage="1" showErrorMessage="1" sqref="H46 F44 H44 F46 L46 L44 N44:N47">
      <formula1>0</formula1>
      <formula2>999999999999999000000</formula2>
    </dataValidation>
    <dataValidation type="whole" allowBlank="1" showInputMessage="1" showErrorMessage="1" sqref="H56:H59 F51:F59 L51:L59 H54 N54 N56:N59">
      <formula1>0</formula1>
      <formula2>99</formula2>
    </dataValidation>
  </dataValidations>
  <printOptions horizontalCentered="1" verticalCentered="1"/>
  <pageMargins left="0.11811023622047245" right="0.11811023622047245" top="0.15748031496062992" bottom="0.15748031496062992" header="0" footer="0"/>
  <pageSetup paperSize="9" scale="74" orientation="landscape" r:id="rId1"/>
  <extLst>
    <ext xmlns:x14="http://schemas.microsoft.com/office/spreadsheetml/2009/9/main" uri="{78C0D931-6437-407d-A8EE-F0AAD7539E65}">
      <x14:conditionalFormattings>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 xmlns:xm="http://schemas.microsoft.com/office/excel/2006/main">
          <x14:cfRule type="expression" priority="8" id="{1566225C-1C09-437F-99DD-EE91058CB03B}">
            <xm:f>計算シート!F67=1</xm:f>
            <x14:dxf>
              <border>
                <bottom/>
                <vertical/>
                <horizontal/>
              </border>
            </x14:dxf>
          </x14:cfRule>
          <xm:sqref>I15:I16</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m:sqref>G17:G18</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34" id="{3AD5AC95-189C-4DA6-B526-A393EFD759C6}">
            <xm:f>計算シート!C69=1</xm:f>
            <x14:dxf>
              <border>
                <bottom/>
                <vertical/>
                <horizontal/>
              </border>
            </x14:dxf>
          </x14:cfRule>
          <xm:sqref>I17:I18</xm:sqref>
        </x14:conditionalFormatting>
        <x14:conditionalFormatting xmlns:xm="http://schemas.microsoft.com/office/excel/2006/main">
          <x14:cfRule type="expression" priority="35" id="{D6EE8BE7-C28C-4556-B4D0-1711221AED30}">
            <xm:f>計算シート!F68=1</xm:f>
            <x14:dxf>
              <border>
                <bottom/>
                <vertical/>
                <horizontal/>
              </border>
            </x14:dxf>
          </x14:cfRule>
          <xm:sqref>I17:I18</xm:sqref>
        </x14:conditionalFormatting>
        <x14:conditionalFormatting xmlns:xm="http://schemas.microsoft.com/office/excel/2006/main">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計算シート!$F$24:$F$28</xm:f>
          </x14:formula1>
          <xm:sqref>I15:J15</xm:sqref>
        </x14:dataValidation>
        <x14:dataValidation type="list" allowBlank="1" showInputMessage="1" showErrorMessage="1">
          <x14:formula1>
            <xm:f>計算シート!$F$24:$F$29</xm:f>
          </x14:formula1>
          <xm:sqref>I18:J18 I16:J16</xm:sqref>
        </x14:dataValidation>
        <x14:dataValidation type="list" allowBlank="1" showInputMessage="1" showErrorMessage="1">
          <x14:formula1>
            <xm:f>計算シート!$F$24:$F$25</xm:f>
          </x14:formula1>
          <xm:sqref>I17:J17</xm:sqref>
        </x14:dataValidation>
        <x14:dataValidation type="list" allowBlank="1" showInputMessage="1" showErrorMessage="1">
          <x14:formula1>
            <xm:f>計算シート!$F$11:$F$13</xm:f>
          </x14:formula1>
          <xm:sqref>F24</xm:sqref>
        </x14:dataValidation>
        <x14:dataValidation type="list" allowBlank="1" showInputMessage="1" showErrorMessage="1">
          <x14:formula1>
            <xm:f>計算シート!$F$8:$F$10</xm:f>
          </x14:formula1>
          <xm:sqref>F40</xm:sqref>
        </x14:dataValidation>
        <x14:dataValidation type="list" allowBlank="1" showInputMessage="1" showErrorMessage="1">
          <x14:formula1>
            <xm:f>計算シート!$F$3:$F$4</xm:f>
          </x14:formula1>
          <xm:sqref>F26:F27 F36 F38</xm:sqref>
        </x14:dataValidation>
        <x14:dataValidation type="list" allowBlank="1" showInputMessage="1" showErrorMessage="1">
          <x14:formula1>
            <xm:f>計算シート!$F$15:$F$22</xm:f>
          </x14:formula1>
          <xm:sqref>L10</xm:sqref>
        </x14:dataValidation>
        <x14:dataValidation type="list" allowBlank="1" showInputMessage="1" showErrorMessage="1">
          <x14:formula1>
            <xm:f>前年レート!$N$12:$N$74</xm:f>
          </x14:formula1>
          <xm:sqref>L47 F43 F47 F30 L43 F28 L45 F45</xm:sqref>
        </x14:dataValidation>
        <x14:dataValidation type="list" allowBlank="1" showInputMessage="1" showErrorMessage="1">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view="pageBreakPreview" zoomScaleNormal="100" zoomScaleSheetLayoutView="100" workbookViewId="0">
      <selection activeCell="Z46" sqref="Z46"/>
    </sheetView>
  </sheetViews>
  <sheetFormatPr defaultRowHeight="13.5"/>
  <cols>
    <col min="1" max="1" width="3.125" style="218" customWidth="1"/>
    <col min="2" max="2" width="34.625" style="218" customWidth="1"/>
    <col min="3" max="3" width="0.625" style="218" customWidth="1"/>
    <col min="4" max="4" width="16.625" style="218" customWidth="1"/>
    <col min="5" max="5" width="4.75" style="218" bestFit="1" customWidth="1"/>
    <col min="6" max="6" width="4.125" style="218" customWidth="1"/>
    <col min="7" max="7" width="2.5" style="218" customWidth="1"/>
    <col min="8" max="8" width="16.625" style="218" customWidth="1"/>
    <col min="9" max="9" width="4.75" style="218" bestFit="1" customWidth="1"/>
    <col min="10" max="10" width="0.625" style="218" customWidth="1"/>
    <col min="11" max="11" width="4.875" style="218" customWidth="1"/>
    <col min="12" max="21" width="9" style="218"/>
    <col min="22" max="22" width="4.25" style="218" customWidth="1"/>
    <col min="23" max="16384" width="9" style="218"/>
  </cols>
  <sheetData>
    <row r="1" spans="1:22">
      <c r="A1" s="603" t="s">
        <v>497</v>
      </c>
      <c r="B1" s="603"/>
      <c r="C1" s="603"/>
      <c r="D1" s="603"/>
      <c r="E1" s="603"/>
      <c r="F1" s="603"/>
      <c r="G1" s="603"/>
      <c r="H1" s="603"/>
      <c r="I1" s="603"/>
      <c r="K1" s="219"/>
      <c r="L1" s="603" t="s">
        <v>363</v>
      </c>
      <c r="M1" s="603"/>
      <c r="N1" s="603"/>
      <c r="O1" s="603"/>
      <c r="P1" s="603"/>
      <c r="Q1" s="603"/>
      <c r="R1" s="603"/>
      <c r="S1" s="603"/>
      <c r="T1" s="603"/>
      <c r="U1" s="603"/>
      <c r="V1" s="603"/>
    </row>
    <row r="2" spans="1:22" ht="6" customHeight="1">
      <c r="A2" s="220"/>
      <c r="B2" s="220"/>
      <c r="C2" s="220"/>
      <c r="D2" s="220"/>
      <c r="E2" s="220"/>
      <c r="F2" s="220"/>
      <c r="G2" s="220"/>
      <c r="H2" s="220"/>
      <c r="I2" s="220"/>
      <c r="K2" s="219"/>
    </row>
    <row r="3" spans="1:22">
      <c r="A3" s="221" t="s">
        <v>297</v>
      </c>
      <c r="C3" s="220"/>
      <c r="D3" s="220"/>
      <c r="E3" s="220"/>
      <c r="F3" s="220"/>
      <c r="G3" s="220"/>
      <c r="H3" s="220"/>
      <c r="I3" s="220"/>
      <c r="K3" s="219"/>
      <c r="L3" s="371" t="s">
        <v>608</v>
      </c>
      <c r="M3" s="186"/>
      <c r="N3" s="186"/>
      <c r="O3" s="186"/>
      <c r="P3" s="186"/>
      <c r="Q3" s="186"/>
      <c r="R3" s="186"/>
      <c r="S3" s="186"/>
      <c r="T3" s="186"/>
      <c r="U3" s="186"/>
      <c r="V3" s="186"/>
    </row>
    <row r="4" spans="1:22" ht="9.75" customHeight="1">
      <c r="A4" s="220"/>
      <c r="B4" s="221"/>
      <c r="C4" s="220"/>
      <c r="D4" s="220"/>
      <c r="E4" s="220"/>
      <c r="F4" s="220"/>
      <c r="G4" s="220"/>
      <c r="H4" s="220"/>
      <c r="I4" s="220"/>
      <c r="K4" s="219"/>
      <c r="L4" s="598" t="s">
        <v>607</v>
      </c>
      <c r="M4" s="599"/>
      <c r="N4" s="599"/>
      <c r="O4" s="599"/>
      <c r="P4" s="599"/>
      <c r="Q4" s="599"/>
      <c r="R4" s="599"/>
      <c r="S4" s="599"/>
      <c r="T4" s="599"/>
      <c r="U4" s="599"/>
      <c r="V4" s="599"/>
    </row>
    <row r="5" spans="1:22" ht="13.5" customHeight="1">
      <c r="A5" s="220"/>
      <c r="B5" s="605" t="s">
        <v>420</v>
      </c>
      <c r="C5" s="605"/>
      <c r="D5" s="605"/>
      <c r="E5" s="605"/>
      <c r="F5" s="605"/>
      <c r="G5" s="605"/>
      <c r="H5" s="605"/>
      <c r="I5" s="605"/>
      <c r="K5" s="219"/>
      <c r="L5" s="598"/>
      <c r="M5" s="599"/>
      <c r="N5" s="599"/>
      <c r="O5" s="599"/>
      <c r="P5" s="599"/>
      <c r="Q5" s="599"/>
      <c r="R5" s="599"/>
      <c r="S5" s="599"/>
      <c r="T5" s="599"/>
      <c r="U5" s="599"/>
      <c r="V5" s="599"/>
    </row>
    <row r="6" spans="1:22">
      <c r="A6" s="220"/>
      <c r="B6" s="605"/>
      <c r="C6" s="605"/>
      <c r="D6" s="605"/>
      <c r="E6" s="605"/>
      <c r="F6" s="605"/>
      <c r="G6" s="605"/>
      <c r="H6" s="605"/>
      <c r="I6" s="605"/>
      <c r="K6" s="219"/>
      <c r="L6" s="598"/>
      <c r="M6" s="599"/>
      <c r="N6" s="599"/>
      <c r="O6" s="599"/>
      <c r="P6" s="599"/>
      <c r="Q6" s="599"/>
      <c r="R6" s="599"/>
      <c r="S6" s="599"/>
      <c r="T6" s="599"/>
      <c r="U6" s="599"/>
      <c r="V6" s="599"/>
    </row>
    <row r="7" spans="1:22" ht="13.5" customHeight="1">
      <c r="A7" s="220"/>
      <c r="B7" s="222"/>
      <c r="C7" s="222"/>
      <c r="D7" s="222"/>
      <c r="E7" s="222"/>
      <c r="F7" s="222"/>
      <c r="G7" s="222"/>
      <c r="H7" s="222"/>
      <c r="I7" s="222"/>
      <c r="K7" s="219"/>
      <c r="L7" s="598" t="s">
        <v>395</v>
      </c>
      <c r="M7" s="599"/>
      <c r="N7" s="599"/>
      <c r="O7" s="599"/>
      <c r="P7" s="599"/>
      <c r="Q7" s="599"/>
      <c r="R7" s="599"/>
      <c r="S7" s="599"/>
      <c r="T7" s="599"/>
      <c r="U7" s="599"/>
      <c r="V7" s="599"/>
    </row>
    <row r="8" spans="1:22" ht="14.25" thickBot="1">
      <c r="A8" s="220"/>
      <c r="B8" s="222"/>
      <c r="C8" s="222"/>
      <c r="D8" s="222"/>
      <c r="E8" s="604" t="s">
        <v>386</v>
      </c>
      <c r="F8" s="604"/>
      <c r="G8" s="604"/>
      <c r="H8" s="223">
        <v>44044</v>
      </c>
      <c r="I8" s="222"/>
      <c r="K8" s="219"/>
      <c r="L8" s="598"/>
      <c r="M8" s="599"/>
      <c r="N8" s="599"/>
      <c r="O8" s="599"/>
      <c r="P8" s="599"/>
      <c r="Q8" s="599"/>
      <c r="R8" s="599"/>
      <c r="S8" s="599"/>
      <c r="T8" s="599"/>
      <c r="U8" s="599"/>
      <c r="V8" s="599"/>
    </row>
    <row r="9" spans="1:22" ht="13.5" customHeight="1">
      <c r="A9" s="220"/>
      <c r="B9" s="220"/>
      <c r="C9" s="220"/>
      <c r="D9" s="220"/>
      <c r="E9" s="208"/>
      <c r="F9" s="208"/>
      <c r="G9" s="208"/>
      <c r="H9" s="224" t="s">
        <v>385</v>
      </c>
      <c r="I9" s="225"/>
      <c r="K9" s="219"/>
      <c r="L9" s="598" t="s">
        <v>419</v>
      </c>
      <c r="M9" s="599"/>
      <c r="N9" s="599"/>
      <c r="O9" s="599"/>
      <c r="P9" s="599"/>
      <c r="Q9" s="599"/>
      <c r="R9" s="599"/>
      <c r="S9" s="599"/>
      <c r="T9" s="599"/>
      <c r="U9" s="599"/>
      <c r="V9" s="599"/>
    </row>
    <row r="10" spans="1:22" ht="13.5" customHeight="1" thickBot="1">
      <c r="A10" s="220"/>
      <c r="B10" s="226" t="s">
        <v>404</v>
      </c>
      <c r="C10" s="227"/>
      <c r="D10" s="228">
        <v>2020</v>
      </c>
      <c r="E10" s="607" t="s">
        <v>401</v>
      </c>
      <c r="F10" s="607"/>
      <c r="G10" s="607"/>
      <c r="H10" s="229" t="s">
        <v>403</v>
      </c>
      <c r="I10" s="225"/>
      <c r="K10" s="219"/>
      <c r="L10" s="598"/>
      <c r="M10" s="599"/>
      <c r="N10" s="599"/>
      <c r="O10" s="599"/>
      <c r="P10" s="599"/>
      <c r="Q10" s="599"/>
      <c r="R10" s="599"/>
      <c r="S10" s="599"/>
      <c r="T10" s="599"/>
      <c r="U10" s="599"/>
      <c r="V10" s="599"/>
    </row>
    <row r="11" spans="1:22" ht="14.25" customHeight="1" thickBot="1">
      <c r="A11" s="220"/>
      <c r="B11" s="230" t="s">
        <v>421</v>
      </c>
      <c r="C11" s="231"/>
      <c r="D11" s="215"/>
      <c r="E11" s="232"/>
      <c r="F11" s="232"/>
      <c r="G11" s="232"/>
      <c r="H11" s="216"/>
      <c r="I11" s="225"/>
      <c r="K11" s="219"/>
      <c r="L11" s="598"/>
      <c r="M11" s="599"/>
      <c r="N11" s="599"/>
      <c r="O11" s="599"/>
      <c r="P11" s="599"/>
      <c r="Q11" s="599"/>
      <c r="R11" s="599"/>
      <c r="S11" s="599"/>
      <c r="T11" s="599"/>
      <c r="U11" s="599"/>
      <c r="V11" s="599"/>
    </row>
    <row r="12" spans="1:22" ht="14.25" customHeight="1" thickBot="1">
      <c r="B12" s="230" t="s">
        <v>422</v>
      </c>
      <c r="C12" s="231"/>
      <c r="D12" s="231" t="s">
        <v>370</v>
      </c>
      <c r="E12" s="606" t="s">
        <v>387</v>
      </c>
      <c r="F12" s="606"/>
      <c r="G12" s="606"/>
      <c r="H12" s="223">
        <v>37072</v>
      </c>
      <c r="K12" s="219"/>
      <c r="L12" s="598" t="s">
        <v>416</v>
      </c>
      <c r="M12" s="599"/>
      <c r="N12" s="599"/>
      <c r="O12" s="599"/>
      <c r="P12" s="599"/>
      <c r="Q12" s="599"/>
      <c r="R12" s="599"/>
      <c r="S12" s="599"/>
      <c r="T12" s="599"/>
      <c r="U12" s="599"/>
      <c r="V12" s="599"/>
    </row>
    <row r="13" spans="1:22" ht="14.25" customHeight="1" thickBot="1">
      <c r="B13" s="233" t="s">
        <v>276</v>
      </c>
      <c r="C13" s="188"/>
      <c r="D13" s="188" t="s">
        <v>371</v>
      </c>
      <c r="E13" s="208"/>
      <c r="F13" s="208"/>
      <c r="G13" s="208"/>
      <c r="H13" s="224" t="s">
        <v>385</v>
      </c>
      <c r="K13" s="219"/>
      <c r="L13" s="598"/>
      <c r="M13" s="599"/>
      <c r="N13" s="599"/>
      <c r="O13" s="599"/>
      <c r="P13" s="599"/>
      <c r="Q13" s="599"/>
      <c r="R13" s="599"/>
      <c r="S13" s="599"/>
      <c r="T13" s="599"/>
      <c r="U13" s="599"/>
      <c r="V13" s="599"/>
    </row>
    <row r="14" spans="1:22" ht="14.25" customHeight="1" thickBot="1">
      <c r="B14" s="233" t="s">
        <v>277</v>
      </c>
      <c r="C14" s="188"/>
      <c r="D14" s="188" t="s">
        <v>372</v>
      </c>
      <c r="E14" s="198"/>
      <c r="F14" s="198"/>
      <c r="G14" s="198"/>
      <c r="H14" s="198"/>
      <c r="K14" s="219"/>
      <c r="L14" s="598"/>
      <c r="M14" s="599"/>
      <c r="N14" s="599"/>
      <c r="O14" s="599"/>
      <c r="P14" s="599"/>
      <c r="Q14" s="599"/>
      <c r="R14" s="599"/>
      <c r="S14" s="599"/>
      <c r="T14" s="599"/>
      <c r="U14" s="599"/>
      <c r="V14" s="599"/>
    </row>
    <row r="15" spans="1:22">
      <c r="B15" s="234" t="str">
        <f>"※ 以下、収入（所得）は【"&amp;IF(計算シート!C49=1,計算シート!C47,計算シート!C48)&amp;"年1月1日～12月31日】のものを入力してください。"</f>
        <v>※ 以下、収入（所得）は【2024年1月1日～12月31日】のものを入力してください。</v>
      </c>
      <c r="C15" s="208"/>
      <c r="D15" s="208"/>
      <c r="E15" s="198"/>
      <c r="F15" s="198"/>
      <c r="G15" s="198"/>
      <c r="H15" s="198"/>
      <c r="K15" s="219"/>
      <c r="L15" s="598" t="s">
        <v>364</v>
      </c>
      <c r="M15" s="599"/>
      <c r="N15" s="599"/>
      <c r="O15" s="599"/>
      <c r="P15" s="599"/>
      <c r="Q15" s="599"/>
      <c r="R15" s="599"/>
      <c r="S15" s="599"/>
      <c r="T15" s="599"/>
      <c r="U15" s="599"/>
      <c r="V15" s="599"/>
    </row>
    <row r="16" spans="1:22">
      <c r="B16" s="234" t="str">
        <f>"    扶養等の情報は【"&amp;IF(計算シート!C49=1,計算シート!C47,計算シート!C48)&amp;"年12月31日】現在のものを入力してください。"</f>
        <v xml:space="preserve">    扶養等の情報は【2024年12月31日】現在のものを入力してください。</v>
      </c>
      <c r="C16" s="208"/>
      <c r="D16" s="208"/>
      <c r="E16" s="198"/>
      <c r="F16" s="198"/>
      <c r="G16" s="198"/>
      <c r="H16" s="198"/>
      <c r="K16" s="219"/>
      <c r="L16" s="598"/>
      <c r="M16" s="599"/>
      <c r="N16" s="599"/>
      <c r="O16" s="599"/>
      <c r="P16" s="599"/>
      <c r="Q16" s="599"/>
      <c r="R16" s="599"/>
      <c r="S16" s="599"/>
      <c r="T16" s="599"/>
      <c r="U16" s="599"/>
      <c r="V16" s="599"/>
    </row>
    <row r="17" spans="1:22" ht="7.5" customHeight="1" thickBot="1">
      <c r="A17" s="235"/>
      <c r="B17" s="235"/>
      <c r="C17" s="235"/>
      <c r="D17" s="235"/>
      <c r="E17" s="235"/>
      <c r="K17" s="219"/>
      <c r="L17" s="598"/>
      <c r="M17" s="599"/>
      <c r="N17" s="599"/>
      <c r="O17" s="599"/>
      <c r="P17" s="599"/>
      <c r="Q17" s="599"/>
      <c r="R17" s="599"/>
      <c r="S17" s="599"/>
      <c r="T17" s="599"/>
      <c r="U17" s="599"/>
      <c r="V17" s="599"/>
    </row>
    <row r="18" spans="1:22" s="239" customFormat="1" ht="15.6" customHeight="1" thickTop="1">
      <c r="A18" s="236" t="s">
        <v>415</v>
      </c>
      <c r="B18" s="237"/>
      <c r="C18" s="237"/>
      <c r="D18" s="237"/>
      <c r="E18" s="238"/>
      <c r="G18" s="240" t="s">
        <v>373</v>
      </c>
      <c r="H18" s="241"/>
      <c r="I18" s="238"/>
      <c r="K18" s="242"/>
      <c r="L18" s="598"/>
      <c r="M18" s="599"/>
      <c r="N18" s="599"/>
      <c r="O18" s="599"/>
      <c r="P18" s="599"/>
      <c r="Q18" s="599"/>
      <c r="R18" s="599"/>
      <c r="S18" s="599"/>
      <c r="T18" s="599"/>
      <c r="U18" s="599"/>
      <c r="V18" s="599"/>
    </row>
    <row r="19" spans="1:22" s="239" customFormat="1" ht="12.95" customHeight="1" thickBot="1">
      <c r="A19" s="243" t="s">
        <v>316</v>
      </c>
      <c r="B19" s="244" t="s">
        <v>407</v>
      </c>
      <c r="C19" s="367"/>
      <c r="D19" s="368">
        <f>H12</f>
        <v>37072</v>
      </c>
      <c r="E19" s="249"/>
      <c r="G19" s="247" t="s">
        <v>374</v>
      </c>
      <c r="H19" s="248"/>
      <c r="I19" s="249"/>
      <c r="K19" s="242"/>
      <c r="L19" s="370" t="s">
        <v>609</v>
      </c>
      <c r="M19" s="203"/>
      <c r="N19" s="203"/>
      <c r="O19" s="203"/>
      <c r="P19" s="203"/>
      <c r="Q19" s="203"/>
      <c r="R19" s="203"/>
      <c r="S19" s="203"/>
      <c r="T19" s="203"/>
      <c r="U19" s="203"/>
      <c r="V19" s="203"/>
    </row>
    <row r="20" spans="1:22" s="239" customFormat="1" ht="12.95" customHeight="1" thickBot="1">
      <c r="A20" s="250" t="s">
        <v>317</v>
      </c>
      <c r="B20" s="251" t="s">
        <v>293</v>
      </c>
      <c r="D20" s="252" t="s">
        <v>38</v>
      </c>
      <c r="E20" s="249"/>
      <c r="G20" s="247" t="s">
        <v>375</v>
      </c>
      <c r="H20" s="248"/>
      <c r="I20" s="249"/>
      <c r="K20" s="242"/>
      <c r="L20" s="265" t="s">
        <v>610</v>
      </c>
      <c r="M20" s="203"/>
      <c r="N20" s="203"/>
      <c r="O20" s="203"/>
      <c r="P20" s="203"/>
      <c r="Q20" s="203"/>
      <c r="R20" s="203"/>
      <c r="S20" s="203"/>
      <c r="T20" s="203"/>
      <c r="U20" s="203"/>
      <c r="V20" s="203"/>
    </row>
    <row r="21" spans="1:22" s="239" customFormat="1" ht="12.95" customHeight="1" thickBot="1">
      <c r="A21" s="250" t="s">
        <v>318</v>
      </c>
      <c r="B21" s="239" t="s">
        <v>294</v>
      </c>
      <c r="C21" s="253"/>
      <c r="D21" s="254" t="s">
        <v>266</v>
      </c>
      <c r="E21" s="249"/>
      <c r="G21" s="247" t="s">
        <v>376</v>
      </c>
      <c r="H21" s="248"/>
      <c r="I21" s="249"/>
      <c r="K21" s="242"/>
      <c r="L21" s="370" t="s">
        <v>611</v>
      </c>
      <c r="M21" s="203"/>
      <c r="N21" s="203"/>
      <c r="O21" s="203"/>
      <c r="P21" s="203"/>
      <c r="Q21" s="203"/>
      <c r="R21" s="203"/>
      <c r="S21" s="203"/>
      <c r="T21" s="203"/>
      <c r="U21" s="203"/>
      <c r="V21" s="203"/>
    </row>
    <row r="22" spans="1:22" s="239" customFormat="1" ht="12.95" customHeight="1" thickBot="1">
      <c r="A22" s="250" t="s">
        <v>319</v>
      </c>
      <c r="B22" s="255" t="s">
        <v>295</v>
      </c>
      <c r="C22" s="253"/>
      <c r="D22" s="256" t="s">
        <v>42</v>
      </c>
      <c r="E22" s="249"/>
      <c r="G22" s="257">
        <v>1</v>
      </c>
      <c r="H22" s="258" t="s">
        <v>377</v>
      </c>
      <c r="I22" s="259" t="s">
        <v>378</v>
      </c>
      <c r="K22" s="242"/>
      <c r="L22" s="370" t="s">
        <v>616</v>
      </c>
      <c r="M22" s="203"/>
      <c r="N22" s="203"/>
      <c r="O22" s="203"/>
      <c r="P22" s="203"/>
      <c r="Q22" s="203"/>
      <c r="R22" s="203"/>
      <c r="S22" s="203"/>
      <c r="T22" s="203"/>
      <c r="U22" s="203"/>
      <c r="V22" s="203"/>
    </row>
    <row r="23" spans="1:22" s="239" customFormat="1" ht="12.95" customHeight="1" thickBot="1">
      <c r="A23" s="250" t="s">
        <v>320</v>
      </c>
      <c r="B23" s="260" t="s">
        <v>423</v>
      </c>
      <c r="C23" s="261"/>
      <c r="D23" s="252" t="s">
        <v>40</v>
      </c>
      <c r="E23" s="249"/>
      <c r="G23" s="257">
        <v>2</v>
      </c>
      <c r="H23" s="262" t="s">
        <v>384</v>
      </c>
      <c r="I23" s="259" t="s">
        <v>500</v>
      </c>
      <c r="K23" s="242"/>
      <c r="L23" s="370" t="s">
        <v>612</v>
      </c>
      <c r="M23" s="203"/>
      <c r="N23" s="203"/>
      <c r="O23" s="203"/>
      <c r="P23" s="203"/>
      <c r="Q23" s="203"/>
      <c r="R23" s="203"/>
      <c r="S23" s="203"/>
      <c r="T23" s="203"/>
      <c r="U23" s="203"/>
      <c r="V23" s="203"/>
    </row>
    <row r="24" spans="1:22" s="239" customFormat="1" ht="12.95" customHeight="1" thickBot="1">
      <c r="A24" s="250" t="s">
        <v>321</v>
      </c>
      <c r="B24" s="263" t="s">
        <v>280</v>
      </c>
      <c r="C24" s="261"/>
      <c r="D24" s="256" t="s">
        <v>49</v>
      </c>
      <c r="E24" s="249"/>
      <c r="G24" s="257">
        <v>3</v>
      </c>
      <c r="H24" s="258" t="s">
        <v>383</v>
      </c>
      <c r="I24" s="259" t="s">
        <v>500</v>
      </c>
      <c r="K24" s="242"/>
      <c r="L24" s="598" t="s">
        <v>617</v>
      </c>
      <c r="M24" s="599"/>
      <c r="N24" s="599"/>
      <c r="O24" s="599"/>
      <c r="P24" s="599"/>
      <c r="Q24" s="599"/>
      <c r="R24" s="599"/>
      <c r="S24" s="599"/>
      <c r="T24" s="599"/>
      <c r="U24" s="599"/>
      <c r="V24" s="599"/>
    </row>
    <row r="25" spans="1:22" s="239" customFormat="1" ht="12.95" customHeight="1" thickBot="1">
      <c r="A25" s="250" t="s">
        <v>322</v>
      </c>
      <c r="B25" s="239" t="s">
        <v>281</v>
      </c>
      <c r="D25" s="264">
        <v>0</v>
      </c>
      <c r="E25" s="246" t="s">
        <v>501</v>
      </c>
      <c r="G25" s="257">
        <v>4</v>
      </c>
      <c r="H25" s="258" t="s">
        <v>382</v>
      </c>
      <c r="I25" s="259" t="s">
        <v>502</v>
      </c>
      <c r="K25" s="242"/>
      <c r="L25" s="598"/>
      <c r="M25" s="599"/>
      <c r="N25" s="599"/>
      <c r="O25" s="599"/>
      <c r="P25" s="599"/>
      <c r="Q25" s="599"/>
      <c r="R25" s="599"/>
      <c r="S25" s="599"/>
      <c r="T25" s="599"/>
      <c r="U25" s="599"/>
      <c r="V25" s="599"/>
    </row>
    <row r="26" spans="1:22" s="239" customFormat="1" ht="12.95" customHeight="1" thickBot="1">
      <c r="A26" s="250" t="s">
        <v>323</v>
      </c>
      <c r="B26" s="266" t="s">
        <v>305</v>
      </c>
      <c r="C26" s="261"/>
      <c r="D26" s="256" t="s">
        <v>49</v>
      </c>
      <c r="E26" s="249"/>
      <c r="G26" s="257">
        <v>5</v>
      </c>
      <c r="H26" s="258" t="s">
        <v>381</v>
      </c>
      <c r="I26" s="259" t="s">
        <v>500</v>
      </c>
      <c r="K26" s="242"/>
      <c r="L26" s="598"/>
      <c r="M26" s="599"/>
      <c r="N26" s="599"/>
      <c r="O26" s="599"/>
      <c r="P26" s="599"/>
      <c r="Q26" s="599"/>
      <c r="R26" s="599"/>
      <c r="S26" s="599"/>
      <c r="T26" s="599"/>
      <c r="U26" s="599"/>
      <c r="V26" s="599"/>
    </row>
    <row r="27" spans="1:22" s="239" customFormat="1" ht="12.95" customHeight="1" thickBot="1">
      <c r="A27" s="267" t="s">
        <v>324</v>
      </c>
      <c r="B27" s="268" t="s">
        <v>306</v>
      </c>
      <c r="C27" s="269"/>
      <c r="D27" s="264">
        <v>0</v>
      </c>
      <c r="E27" s="270" t="s">
        <v>501</v>
      </c>
      <c r="G27" s="271"/>
      <c r="H27" s="272"/>
      <c r="I27" s="273"/>
      <c r="K27" s="242"/>
      <c r="L27" s="598"/>
      <c r="M27" s="599"/>
      <c r="N27" s="599"/>
      <c r="O27" s="599"/>
      <c r="P27" s="599"/>
      <c r="Q27" s="599"/>
      <c r="R27" s="599"/>
      <c r="S27" s="599"/>
      <c r="T27" s="599"/>
      <c r="U27" s="599"/>
      <c r="V27" s="599"/>
    </row>
    <row r="28" spans="1:22" s="239" customFormat="1" ht="3" customHeight="1" thickTop="1">
      <c r="K28" s="242"/>
      <c r="L28" s="274"/>
      <c r="M28" s="186"/>
      <c r="N28" s="186"/>
      <c r="O28" s="186"/>
      <c r="P28" s="186"/>
      <c r="Q28" s="186"/>
      <c r="R28" s="186"/>
      <c r="S28" s="186"/>
      <c r="T28" s="186"/>
      <c r="U28" s="186"/>
      <c r="V28" s="186"/>
    </row>
    <row r="29" spans="1:22" s="239" customFormat="1" ht="14.1" customHeight="1" thickBot="1">
      <c r="A29" s="275"/>
      <c r="B29" s="275"/>
      <c r="C29" s="276"/>
      <c r="D29" s="277" t="s">
        <v>38</v>
      </c>
      <c r="E29" s="278"/>
      <c r="F29" s="275"/>
      <c r="G29" s="276"/>
      <c r="H29" s="279" t="s">
        <v>503</v>
      </c>
      <c r="I29" s="280"/>
      <c r="J29" s="281"/>
      <c r="K29" s="242"/>
      <c r="L29" s="274"/>
      <c r="M29" s="274"/>
      <c r="N29" s="186"/>
      <c r="O29" s="186"/>
      <c r="P29" s="186"/>
      <c r="Q29" s="186"/>
      <c r="R29" s="186"/>
      <c r="S29" s="186"/>
      <c r="T29" s="186"/>
      <c r="U29" s="186"/>
      <c r="V29" s="186"/>
    </row>
    <row r="30" spans="1:22" s="239" customFormat="1" ht="15.6" customHeight="1" thickTop="1" thickBot="1">
      <c r="A30" s="240" t="s">
        <v>282</v>
      </c>
      <c r="B30" s="248"/>
      <c r="C30" s="282"/>
      <c r="D30" s="248"/>
      <c r="E30" s="283"/>
      <c r="F30" s="248"/>
      <c r="G30" s="282"/>
      <c r="H30" s="284" t="s">
        <v>502</v>
      </c>
      <c r="I30" s="238"/>
      <c r="J30" s="285"/>
      <c r="K30" s="242"/>
      <c r="M30" s="274"/>
      <c r="N30" s="186"/>
      <c r="O30" s="186"/>
      <c r="P30" s="186"/>
      <c r="Q30" s="186"/>
      <c r="R30" s="186"/>
      <c r="S30" s="186"/>
      <c r="T30" s="186"/>
      <c r="U30" s="186"/>
      <c r="V30" s="186"/>
    </row>
    <row r="31" spans="1:22" s="239" customFormat="1" ht="12.95" customHeight="1" thickBot="1">
      <c r="A31" s="286" t="s">
        <v>325</v>
      </c>
      <c r="B31" s="244" t="s">
        <v>406</v>
      </c>
      <c r="C31" s="287"/>
      <c r="D31" s="245">
        <v>22037</v>
      </c>
      <c r="E31" s="285"/>
      <c r="F31" s="288" t="s">
        <v>331</v>
      </c>
      <c r="G31" s="282"/>
      <c r="H31" s="245">
        <v>22037</v>
      </c>
      <c r="I31" s="246"/>
      <c r="J31" s="285"/>
      <c r="K31" s="242"/>
      <c r="L31" s="274"/>
      <c r="M31" s="274"/>
      <c r="N31" s="186"/>
      <c r="O31" s="186"/>
      <c r="P31" s="186"/>
      <c r="Q31" s="186"/>
      <c r="R31" s="186"/>
      <c r="S31" s="186"/>
      <c r="T31" s="186"/>
      <c r="U31" s="186"/>
      <c r="V31" s="186"/>
    </row>
    <row r="32" spans="1:22" s="239" customFormat="1" ht="12.95" customHeight="1" thickBot="1">
      <c r="A32" s="289" t="s">
        <v>326</v>
      </c>
      <c r="B32" s="263" t="s">
        <v>309</v>
      </c>
      <c r="C32" s="287"/>
      <c r="D32" s="252" t="s">
        <v>40</v>
      </c>
      <c r="E32" s="283"/>
      <c r="F32" s="290"/>
      <c r="G32" s="282"/>
      <c r="H32" s="291"/>
      <c r="I32" s="249"/>
      <c r="J32" s="285"/>
      <c r="K32" s="242"/>
      <c r="L32" s="598" t="s">
        <v>417</v>
      </c>
      <c r="M32" s="600"/>
      <c r="N32" s="600"/>
      <c r="O32" s="600"/>
      <c r="P32" s="600"/>
      <c r="Q32" s="600"/>
      <c r="R32" s="600"/>
      <c r="S32" s="600"/>
      <c r="T32" s="600"/>
      <c r="U32" s="600"/>
      <c r="V32" s="600"/>
    </row>
    <row r="33" spans="1:22" s="239" customFormat="1" ht="12.95" customHeight="1" thickBot="1">
      <c r="A33" s="289" t="s">
        <v>327</v>
      </c>
      <c r="B33" s="263" t="s">
        <v>424</v>
      </c>
      <c r="C33" s="287"/>
      <c r="D33" s="252" t="s">
        <v>40</v>
      </c>
      <c r="E33" s="283"/>
      <c r="F33" s="290"/>
      <c r="G33" s="282"/>
      <c r="H33" s="291"/>
      <c r="I33" s="249"/>
      <c r="J33" s="285"/>
      <c r="K33" s="242"/>
      <c r="L33" s="598"/>
      <c r="M33" s="600"/>
      <c r="N33" s="600"/>
      <c r="O33" s="600"/>
      <c r="P33" s="600"/>
      <c r="Q33" s="600"/>
      <c r="R33" s="600"/>
      <c r="S33" s="600"/>
      <c r="T33" s="600"/>
      <c r="U33" s="600"/>
      <c r="V33" s="600"/>
    </row>
    <row r="34" spans="1:22" s="239" customFormat="1" ht="12.95" customHeight="1" thickBot="1">
      <c r="A34" s="289" t="s">
        <v>328</v>
      </c>
      <c r="B34" s="292" t="s">
        <v>312</v>
      </c>
      <c r="C34" s="293"/>
      <c r="D34" s="252" t="s">
        <v>40</v>
      </c>
      <c r="E34" s="283"/>
      <c r="F34" s="290"/>
      <c r="G34" s="282"/>
      <c r="H34" s="248"/>
      <c r="I34" s="249"/>
      <c r="J34" s="285"/>
      <c r="K34" s="242"/>
      <c r="L34" s="598"/>
      <c r="M34" s="600"/>
      <c r="N34" s="600"/>
      <c r="O34" s="600"/>
      <c r="P34" s="600"/>
      <c r="Q34" s="600"/>
      <c r="R34" s="600"/>
      <c r="S34" s="600"/>
      <c r="T34" s="600"/>
      <c r="U34" s="600"/>
      <c r="V34" s="600"/>
    </row>
    <row r="35" spans="1:22" s="239" customFormat="1" ht="12.95" customHeight="1" thickBot="1">
      <c r="A35" s="289" t="s">
        <v>329</v>
      </c>
      <c r="B35" s="263" t="s">
        <v>294</v>
      </c>
      <c r="C35" s="287"/>
      <c r="D35" s="294" t="s">
        <v>44</v>
      </c>
      <c r="E35" s="283"/>
      <c r="F35" s="295" t="s">
        <v>332</v>
      </c>
      <c r="G35" s="282"/>
      <c r="H35" s="294" t="s">
        <v>44</v>
      </c>
      <c r="I35" s="249"/>
      <c r="J35" s="285"/>
      <c r="K35" s="242"/>
      <c r="L35" s="274" t="s">
        <v>368</v>
      </c>
      <c r="M35" s="274"/>
      <c r="N35" s="274"/>
      <c r="O35" s="274"/>
      <c r="P35" s="274"/>
      <c r="Q35" s="274"/>
      <c r="R35" s="274"/>
      <c r="S35" s="274"/>
      <c r="T35" s="274"/>
      <c r="U35" s="274"/>
      <c r="V35" s="274"/>
    </row>
    <row r="36" spans="1:22" s="239" customFormat="1" ht="12.95" customHeight="1" thickBot="1">
      <c r="A36" s="296" t="s">
        <v>330</v>
      </c>
      <c r="B36" s="268" t="str">
        <f>IF(計算シート!C50=0,"寡婦または寡夫ですか","ひとり親ですか")</f>
        <v>ひとり親ですか</v>
      </c>
      <c r="C36" s="297"/>
      <c r="D36" s="294" t="s">
        <v>46</v>
      </c>
      <c r="E36" s="298"/>
      <c r="F36" s="272"/>
      <c r="G36" s="299"/>
      <c r="H36" s="300"/>
      <c r="I36" s="273"/>
      <c r="J36" s="285"/>
      <c r="K36" s="242"/>
      <c r="L36" s="274" t="s">
        <v>618</v>
      </c>
      <c r="M36" s="274"/>
      <c r="N36" s="274"/>
      <c r="O36" s="274"/>
      <c r="P36" s="274"/>
      <c r="Q36" s="274"/>
      <c r="R36" s="274"/>
      <c r="S36" s="274"/>
      <c r="T36" s="274"/>
      <c r="U36" s="274"/>
      <c r="V36" s="274"/>
    </row>
    <row r="37" spans="1:22" s="308" customFormat="1" ht="11.25" customHeight="1" thickTop="1" thickBot="1">
      <c r="A37" s="301" t="s">
        <v>506</v>
      </c>
      <c r="B37" s="302"/>
      <c r="C37" s="303"/>
      <c r="D37" s="302"/>
      <c r="E37" s="304"/>
      <c r="F37" s="302"/>
      <c r="G37" s="303"/>
      <c r="H37" s="305"/>
      <c r="I37" s="302"/>
      <c r="J37" s="306"/>
      <c r="K37" s="307"/>
      <c r="L37" s="274"/>
      <c r="M37" s="274"/>
      <c r="N37" s="274"/>
      <c r="O37" s="274"/>
      <c r="P37" s="274"/>
      <c r="Q37" s="274"/>
      <c r="R37" s="274"/>
      <c r="S37" s="274"/>
      <c r="T37" s="274"/>
      <c r="U37" s="274"/>
      <c r="V37" s="274"/>
    </row>
    <row r="38" spans="1:22" s="239" customFormat="1" ht="15.6" customHeight="1" thickTop="1" thickBot="1">
      <c r="A38" s="240" t="s">
        <v>283</v>
      </c>
      <c r="B38" s="248"/>
      <c r="C38" s="282"/>
      <c r="D38" s="248"/>
      <c r="E38" s="283"/>
      <c r="F38" s="248"/>
      <c r="G38" s="282"/>
      <c r="H38" s="284" t="s">
        <v>502</v>
      </c>
      <c r="I38" s="238"/>
      <c r="J38" s="285"/>
      <c r="K38" s="242"/>
      <c r="L38" s="598" t="s">
        <v>425</v>
      </c>
      <c r="M38" s="600"/>
      <c r="N38" s="600"/>
      <c r="O38" s="600"/>
      <c r="P38" s="600"/>
      <c r="Q38" s="600"/>
      <c r="R38" s="600"/>
      <c r="S38" s="600"/>
      <c r="T38" s="600"/>
      <c r="U38" s="600"/>
      <c r="V38" s="600"/>
    </row>
    <row r="39" spans="1:22" s="239" customFormat="1" ht="12.95" customHeight="1" thickBot="1">
      <c r="A39" s="286" t="s">
        <v>333</v>
      </c>
      <c r="B39" s="263" t="s">
        <v>272</v>
      </c>
      <c r="C39" s="287"/>
      <c r="D39" s="256" t="s">
        <v>365</v>
      </c>
      <c r="E39" s="283"/>
      <c r="F39" s="288" t="s">
        <v>339</v>
      </c>
      <c r="G39" s="282"/>
      <c r="H39" s="256" t="s">
        <v>49</v>
      </c>
      <c r="I39" s="249"/>
      <c r="J39" s="285"/>
      <c r="K39" s="242"/>
      <c r="L39" s="598"/>
      <c r="M39" s="600"/>
      <c r="N39" s="600"/>
      <c r="O39" s="600"/>
      <c r="P39" s="600"/>
      <c r="Q39" s="600"/>
      <c r="R39" s="600"/>
      <c r="S39" s="600"/>
      <c r="T39" s="600"/>
      <c r="U39" s="600"/>
      <c r="V39" s="600"/>
    </row>
    <row r="40" spans="1:22" s="239" customFormat="1" ht="12.95" customHeight="1" thickBot="1">
      <c r="A40" s="289" t="s">
        <v>334</v>
      </c>
      <c r="B40" s="263" t="s">
        <v>274</v>
      </c>
      <c r="C40" s="287"/>
      <c r="D40" s="264">
        <v>42000</v>
      </c>
      <c r="E40" s="285" t="s">
        <v>505</v>
      </c>
      <c r="F40" s="295" t="s">
        <v>340</v>
      </c>
      <c r="G40" s="282"/>
      <c r="H40" s="264">
        <v>2700000</v>
      </c>
      <c r="I40" s="246" t="s">
        <v>501</v>
      </c>
      <c r="J40" s="285"/>
      <c r="K40" s="242"/>
      <c r="L40" s="598"/>
      <c r="M40" s="600"/>
      <c r="N40" s="600"/>
      <c r="O40" s="600"/>
      <c r="P40" s="600"/>
      <c r="Q40" s="600"/>
      <c r="R40" s="600"/>
      <c r="S40" s="600"/>
      <c r="T40" s="600"/>
      <c r="U40" s="600"/>
      <c r="V40" s="600"/>
    </row>
    <row r="41" spans="1:22" s="239" customFormat="1" ht="12.95" customHeight="1" thickBot="1">
      <c r="A41" s="289" t="s">
        <v>335</v>
      </c>
      <c r="B41" s="263" t="s">
        <v>273</v>
      </c>
      <c r="C41" s="287"/>
      <c r="D41" s="256" t="s">
        <v>365</v>
      </c>
      <c r="E41" s="283"/>
      <c r="F41" s="295" t="s">
        <v>341</v>
      </c>
      <c r="G41" s="282"/>
      <c r="H41" s="256" t="s">
        <v>49</v>
      </c>
      <c r="I41" s="249"/>
      <c r="J41" s="285"/>
      <c r="K41" s="242"/>
      <c r="L41" s="598"/>
      <c r="M41" s="600"/>
      <c r="N41" s="600"/>
      <c r="O41" s="600"/>
      <c r="P41" s="600"/>
      <c r="Q41" s="600"/>
      <c r="R41" s="600"/>
      <c r="S41" s="600"/>
      <c r="T41" s="600"/>
      <c r="U41" s="600"/>
      <c r="V41" s="600"/>
    </row>
    <row r="42" spans="1:22" s="239" customFormat="1" ht="12.95" customHeight="1" thickBot="1">
      <c r="A42" s="289" t="s">
        <v>336</v>
      </c>
      <c r="B42" s="263" t="s">
        <v>275</v>
      </c>
      <c r="C42" s="287"/>
      <c r="D42" s="264">
        <v>0</v>
      </c>
      <c r="E42" s="285" t="s">
        <v>505</v>
      </c>
      <c r="F42" s="295" t="s">
        <v>342</v>
      </c>
      <c r="G42" s="282"/>
      <c r="H42" s="264">
        <v>0</v>
      </c>
      <c r="I42" s="309" t="s">
        <v>501</v>
      </c>
      <c r="J42" s="285"/>
      <c r="K42" s="242"/>
      <c r="L42" s="598"/>
      <c r="M42" s="600"/>
      <c r="N42" s="600"/>
      <c r="O42" s="600"/>
      <c r="P42" s="600"/>
      <c r="Q42" s="600"/>
      <c r="R42" s="600"/>
      <c r="S42" s="600"/>
      <c r="T42" s="600"/>
      <c r="U42" s="600"/>
      <c r="V42" s="600"/>
    </row>
    <row r="43" spans="1:22" s="239" customFormat="1" ht="12.95" customHeight="1" thickBot="1">
      <c r="A43" s="289" t="s">
        <v>337</v>
      </c>
      <c r="B43" s="244" t="s">
        <v>303</v>
      </c>
      <c r="C43" s="287"/>
      <c r="D43" s="256" t="s">
        <v>365</v>
      </c>
      <c r="E43" s="283"/>
      <c r="F43" s="295" t="s">
        <v>343</v>
      </c>
      <c r="G43" s="282"/>
      <c r="H43" s="256" t="s">
        <v>49</v>
      </c>
      <c r="I43" s="310"/>
      <c r="J43" s="285"/>
      <c r="K43" s="242"/>
      <c r="L43" s="598"/>
      <c r="M43" s="600"/>
      <c r="N43" s="600"/>
      <c r="O43" s="600"/>
      <c r="P43" s="600"/>
      <c r="Q43" s="600"/>
      <c r="R43" s="600"/>
      <c r="S43" s="600"/>
      <c r="T43" s="600"/>
      <c r="U43" s="600"/>
      <c r="V43" s="600"/>
    </row>
    <row r="44" spans="1:22" s="239" customFormat="1" ht="12.95" customHeight="1" thickBot="1">
      <c r="A44" s="296" t="s">
        <v>338</v>
      </c>
      <c r="B44" s="311" t="s">
        <v>304</v>
      </c>
      <c r="C44" s="312"/>
      <c r="D44" s="264">
        <v>3500</v>
      </c>
      <c r="E44" s="298" t="s">
        <v>505</v>
      </c>
      <c r="F44" s="313" t="s">
        <v>344</v>
      </c>
      <c r="G44" s="314"/>
      <c r="H44" s="264">
        <v>0</v>
      </c>
      <c r="I44" s="309" t="s">
        <v>501</v>
      </c>
      <c r="J44" s="285"/>
      <c r="K44" s="242"/>
      <c r="L44" s="598"/>
      <c r="M44" s="600"/>
      <c r="N44" s="600"/>
      <c r="O44" s="600"/>
      <c r="P44" s="600"/>
      <c r="Q44" s="600"/>
      <c r="R44" s="600"/>
      <c r="S44" s="600"/>
      <c r="T44" s="600"/>
      <c r="U44" s="600"/>
      <c r="V44" s="600"/>
    </row>
    <row r="45" spans="1:22" s="239" customFormat="1" ht="7.5" customHeight="1" thickTop="1" thickBot="1">
      <c r="A45" s="275"/>
      <c r="B45" s="275"/>
      <c r="C45" s="315"/>
      <c r="D45" s="275"/>
      <c r="E45" s="316"/>
      <c r="F45" s="275"/>
      <c r="G45" s="315"/>
      <c r="H45" s="275"/>
      <c r="I45" s="317"/>
      <c r="J45" s="285"/>
      <c r="K45" s="242"/>
      <c r="L45" s="598"/>
      <c r="M45" s="600"/>
      <c r="N45" s="600"/>
      <c r="O45" s="600"/>
      <c r="P45" s="600"/>
      <c r="Q45" s="600"/>
      <c r="R45" s="600"/>
      <c r="S45" s="600"/>
      <c r="T45" s="600"/>
      <c r="U45" s="600"/>
      <c r="V45" s="600"/>
    </row>
    <row r="46" spans="1:22" s="239" customFormat="1" ht="15.6" customHeight="1" thickTop="1" thickBot="1">
      <c r="A46" s="236" t="s">
        <v>426</v>
      </c>
      <c r="B46" s="248"/>
      <c r="C46" s="282"/>
      <c r="D46" s="248"/>
      <c r="E46" s="283"/>
      <c r="F46" s="248"/>
      <c r="G46" s="282"/>
      <c r="H46" s="284" t="s">
        <v>502</v>
      </c>
      <c r="I46" s="238"/>
      <c r="J46" s="285"/>
      <c r="K46" s="242"/>
      <c r="L46" s="598"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601"/>
      <c r="N46" s="601"/>
      <c r="O46" s="601"/>
      <c r="P46" s="601"/>
      <c r="Q46" s="601"/>
      <c r="R46" s="601"/>
      <c r="S46" s="601"/>
      <c r="T46" s="601"/>
      <c r="U46" s="601"/>
      <c r="V46" s="601"/>
    </row>
    <row r="47" spans="1:22" s="239" customFormat="1" ht="12.95" customHeight="1" thickBot="1">
      <c r="A47" s="289" t="s">
        <v>345</v>
      </c>
      <c r="B47" s="263" t="s">
        <v>0</v>
      </c>
      <c r="C47" s="287"/>
      <c r="D47" s="252">
        <v>0</v>
      </c>
      <c r="E47" s="285" t="s">
        <v>48</v>
      </c>
      <c r="F47" s="288" t="s">
        <v>354</v>
      </c>
      <c r="G47" s="282"/>
      <c r="H47" s="252">
        <v>2</v>
      </c>
      <c r="I47" s="246" t="s">
        <v>48</v>
      </c>
      <c r="J47" s="285"/>
      <c r="K47" s="242"/>
      <c r="L47" s="602"/>
      <c r="M47" s="601"/>
      <c r="N47" s="601"/>
      <c r="O47" s="601"/>
      <c r="P47" s="601"/>
      <c r="Q47" s="601"/>
      <c r="R47" s="601"/>
      <c r="S47" s="601"/>
      <c r="T47" s="601"/>
      <c r="U47" s="601"/>
      <c r="V47" s="601"/>
    </row>
    <row r="48" spans="1:22" s="239" customFormat="1" ht="12.95" customHeight="1" thickBot="1">
      <c r="A48" s="289" t="s">
        <v>346</v>
      </c>
      <c r="B48" s="263" t="s">
        <v>1</v>
      </c>
      <c r="C48" s="287"/>
      <c r="D48" s="252">
        <v>0</v>
      </c>
      <c r="E48" s="285" t="s">
        <v>48</v>
      </c>
      <c r="F48" s="295" t="s">
        <v>355</v>
      </c>
      <c r="G48" s="282"/>
      <c r="H48" s="252">
        <v>0</v>
      </c>
      <c r="I48" s="246" t="s">
        <v>48</v>
      </c>
      <c r="J48" s="285"/>
      <c r="K48" s="242"/>
      <c r="L48" s="602"/>
      <c r="M48" s="601"/>
      <c r="N48" s="601"/>
      <c r="O48" s="601"/>
      <c r="P48" s="601"/>
      <c r="Q48" s="601"/>
      <c r="R48" s="601"/>
      <c r="S48" s="601"/>
      <c r="T48" s="601"/>
      <c r="U48" s="601"/>
      <c r="V48" s="601"/>
    </row>
    <row r="49" spans="1:22" s="239" customFormat="1" ht="12.95" customHeight="1" thickBot="1">
      <c r="A49" s="289" t="s">
        <v>347</v>
      </c>
      <c r="B49" s="263" t="s">
        <v>2</v>
      </c>
      <c r="C49" s="287"/>
      <c r="D49" s="252">
        <v>1</v>
      </c>
      <c r="E49" s="285" t="s">
        <v>48</v>
      </c>
      <c r="F49" s="295" t="s">
        <v>356</v>
      </c>
      <c r="G49" s="282"/>
      <c r="H49" s="252">
        <v>0</v>
      </c>
      <c r="I49" s="246" t="s">
        <v>48</v>
      </c>
      <c r="J49" s="285"/>
      <c r="K49" s="242"/>
      <c r="L49" s="602"/>
      <c r="M49" s="601"/>
      <c r="N49" s="601"/>
      <c r="O49" s="601"/>
      <c r="P49" s="601"/>
      <c r="Q49" s="601"/>
      <c r="R49" s="601"/>
      <c r="S49" s="601"/>
      <c r="T49" s="601"/>
      <c r="U49" s="601"/>
      <c r="V49" s="601"/>
    </row>
    <row r="50" spans="1:22" s="239" customFormat="1" ht="12.95" customHeight="1" thickBot="1">
      <c r="A50" s="289" t="s">
        <v>348</v>
      </c>
      <c r="B50" s="263" t="s">
        <v>3</v>
      </c>
      <c r="C50" s="287"/>
      <c r="D50" s="252">
        <v>0</v>
      </c>
      <c r="E50" s="285" t="s">
        <v>48</v>
      </c>
      <c r="F50" s="295" t="s">
        <v>357</v>
      </c>
      <c r="G50" s="282"/>
      <c r="H50" s="252">
        <v>0</v>
      </c>
      <c r="I50" s="246" t="s">
        <v>48</v>
      </c>
      <c r="J50" s="285"/>
      <c r="K50" s="242"/>
      <c r="L50" s="598" t="s">
        <v>619</v>
      </c>
      <c r="M50" s="600"/>
      <c r="N50" s="600"/>
      <c r="O50" s="600"/>
      <c r="P50" s="600"/>
      <c r="Q50" s="600"/>
      <c r="R50" s="600"/>
      <c r="S50" s="600"/>
      <c r="T50" s="600"/>
      <c r="U50" s="600"/>
      <c r="V50" s="600"/>
    </row>
    <row r="51" spans="1:22" s="239" customFormat="1" ht="12.95" customHeight="1" thickBot="1">
      <c r="A51" s="289" t="s">
        <v>349</v>
      </c>
      <c r="B51" s="263" t="s">
        <v>4</v>
      </c>
      <c r="C51" s="287"/>
      <c r="D51" s="252">
        <v>0</v>
      </c>
      <c r="E51" s="285" t="s">
        <v>48</v>
      </c>
      <c r="F51" s="295" t="s">
        <v>358</v>
      </c>
      <c r="G51" s="282"/>
      <c r="H51" s="252">
        <v>0</v>
      </c>
      <c r="I51" s="246" t="s">
        <v>48</v>
      </c>
      <c r="J51" s="285"/>
      <c r="K51" s="242"/>
      <c r="L51" s="598"/>
      <c r="M51" s="600"/>
      <c r="N51" s="600"/>
      <c r="O51" s="600"/>
      <c r="P51" s="600"/>
      <c r="Q51" s="600"/>
      <c r="R51" s="600"/>
      <c r="S51" s="600"/>
      <c r="T51" s="600"/>
      <c r="U51" s="600"/>
      <c r="V51" s="600"/>
    </row>
    <row r="52" spans="1:22" s="239" customFormat="1" ht="12.95" customHeight="1" thickBot="1">
      <c r="A52" s="289" t="s">
        <v>350</v>
      </c>
      <c r="B52" s="263" t="s">
        <v>5</v>
      </c>
      <c r="C52" s="287"/>
      <c r="D52" s="252">
        <v>0</v>
      </c>
      <c r="E52" s="285" t="s">
        <v>48</v>
      </c>
      <c r="F52" s="295" t="s">
        <v>359</v>
      </c>
      <c r="G52" s="282"/>
      <c r="H52" s="252">
        <v>0</v>
      </c>
      <c r="I52" s="246" t="s">
        <v>48</v>
      </c>
      <c r="J52" s="285"/>
      <c r="K52" s="242"/>
      <c r="L52" s="598"/>
      <c r="M52" s="600"/>
      <c r="N52" s="600"/>
      <c r="O52" s="600"/>
      <c r="P52" s="600"/>
      <c r="Q52" s="600"/>
      <c r="R52" s="600"/>
      <c r="S52" s="600"/>
      <c r="T52" s="600"/>
      <c r="U52" s="600"/>
      <c r="V52" s="600"/>
    </row>
    <row r="53" spans="1:22" s="239" customFormat="1" ht="12.95" customHeight="1" thickBot="1">
      <c r="A53" s="289" t="s">
        <v>351</v>
      </c>
      <c r="B53" s="263" t="s">
        <v>299</v>
      </c>
      <c r="C53" s="287"/>
      <c r="D53" s="252">
        <v>0</v>
      </c>
      <c r="E53" s="285" t="s">
        <v>48</v>
      </c>
      <c r="F53" s="295" t="s">
        <v>360</v>
      </c>
      <c r="G53" s="282"/>
      <c r="H53" s="252">
        <v>0</v>
      </c>
      <c r="I53" s="246" t="s">
        <v>48</v>
      </c>
      <c r="J53" s="285"/>
      <c r="K53" s="242"/>
      <c r="L53" s="598" t="s">
        <v>394</v>
      </c>
      <c r="M53" s="600"/>
      <c r="N53" s="600"/>
      <c r="O53" s="600"/>
      <c r="P53" s="600"/>
      <c r="Q53" s="600"/>
      <c r="R53" s="600"/>
      <c r="S53" s="600"/>
      <c r="T53" s="600"/>
      <c r="U53" s="600"/>
      <c r="V53" s="600"/>
    </row>
    <row r="54" spans="1:22" s="239" customFormat="1" ht="12.95" customHeight="1" thickBot="1">
      <c r="A54" s="289" t="s">
        <v>352</v>
      </c>
      <c r="B54" s="318" t="s">
        <v>300</v>
      </c>
      <c r="C54" s="319"/>
      <c r="D54" s="252">
        <v>0</v>
      </c>
      <c r="E54" s="285" t="s">
        <v>48</v>
      </c>
      <c r="F54" s="295" t="s">
        <v>361</v>
      </c>
      <c r="G54" s="282"/>
      <c r="H54" s="252">
        <v>0</v>
      </c>
      <c r="I54" s="246" t="s">
        <v>48</v>
      </c>
      <c r="J54" s="285"/>
      <c r="K54" s="242"/>
      <c r="L54" s="598"/>
      <c r="M54" s="600"/>
      <c r="N54" s="600"/>
      <c r="O54" s="600"/>
      <c r="P54" s="600"/>
      <c r="Q54" s="600"/>
      <c r="R54" s="600"/>
      <c r="S54" s="600"/>
      <c r="T54" s="600"/>
      <c r="U54" s="600"/>
      <c r="V54" s="600"/>
    </row>
    <row r="55" spans="1:22" s="239" customFormat="1" ht="12.95" customHeight="1" thickBot="1">
      <c r="A55" s="296" t="s">
        <v>353</v>
      </c>
      <c r="B55" s="320" t="s">
        <v>301</v>
      </c>
      <c r="C55" s="297"/>
      <c r="D55" s="252">
        <v>0</v>
      </c>
      <c r="E55" s="298" t="s">
        <v>48</v>
      </c>
      <c r="F55" s="321" t="s">
        <v>362</v>
      </c>
      <c r="G55" s="314"/>
      <c r="H55" s="252">
        <v>0</v>
      </c>
      <c r="I55" s="270" t="s">
        <v>48</v>
      </c>
      <c r="J55" s="285"/>
      <c r="K55" s="242"/>
      <c r="L55" s="598"/>
      <c r="M55" s="600"/>
      <c r="N55" s="600"/>
      <c r="O55" s="600"/>
      <c r="P55" s="600"/>
      <c r="Q55" s="600"/>
      <c r="R55" s="600"/>
      <c r="S55" s="600"/>
      <c r="T55" s="600"/>
      <c r="U55" s="600"/>
      <c r="V55" s="600"/>
    </row>
    <row r="56" spans="1:22" ht="6.6" customHeight="1" thickTop="1">
      <c r="C56" s="322"/>
      <c r="D56" s="323"/>
      <c r="E56" s="324"/>
      <c r="G56" s="322"/>
      <c r="H56" s="325"/>
      <c r="I56" s="325"/>
      <c r="J56" s="324"/>
      <c r="K56" s="219"/>
      <c r="L56" s="186"/>
      <c r="M56" s="186"/>
      <c r="N56" s="186"/>
      <c r="O56" s="186"/>
      <c r="P56" s="186"/>
      <c r="Q56" s="186"/>
      <c r="R56" s="186"/>
      <c r="S56" s="186"/>
      <c r="T56" s="186"/>
      <c r="U56" s="186"/>
      <c r="V56" s="186"/>
    </row>
    <row r="57" spans="1:22" ht="12.75" hidden="1" customHeight="1">
      <c r="B57" s="218" t="s">
        <v>292</v>
      </c>
      <c r="K57" s="219"/>
      <c r="L57" s="186"/>
      <c r="M57" s="186"/>
      <c r="N57" s="186"/>
      <c r="O57" s="186"/>
      <c r="P57" s="186"/>
      <c r="Q57" s="186"/>
      <c r="R57" s="186"/>
      <c r="S57" s="186"/>
      <c r="T57" s="186"/>
      <c r="U57" s="186"/>
      <c r="V57" s="186"/>
    </row>
    <row r="58" spans="1:22" ht="17.25" hidden="1" customHeight="1" thickBot="1">
      <c r="B58" s="231" t="s">
        <v>38</v>
      </c>
      <c r="C58" s="231"/>
      <c r="D58" s="326" t="s">
        <v>367</v>
      </c>
      <c r="E58" s="231"/>
      <c r="H58" s="231" t="s">
        <v>427</v>
      </c>
      <c r="I58" s="231"/>
      <c r="K58" s="219"/>
      <c r="L58" s="186" t="s">
        <v>369</v>
      </c>
      <c r="M58" s="186"/>
      <c r="N58" s="186"/>
      <c r="O58" s="186"/>
      <c r="P58" s="186"/>
      <c r="Q58" s="186"/>
      <c r="R58" s="186"/>
      <c r="S58" s="186"/>
      <c r="T58" s="186"/>
      <c r="U58" s="186"/>
      <c r="V58" s="186"/>
    </row>
    <row r="59" spans="1:22" ht="23.25" hidden="1" customHeight="1" thickBot="1">
      <c r="B59" s="188" t="s">
        <v>279</v>
      </c>
      <c r="C59" s="188"/>
      <c r="D59" s="327" t="s">
        <v>366</v>
      </c>
      <c r="E59" s="188"/>
      <c r="H59" s="231" t="s">
        <v>428</v>
      </c>
      <c r="I59" s="231"/>
      <c r="K59" s="219"/>
      <c r="L59" s="186"/>
      <c r="M59" s="186"/>
      <c r="N59" s="186"/>
      <c r="O59" s="186"/>
      <c r="P59" s="186"/>
      <c r="Q59" s="186"/>
      <c r="R59" s="186"/>
      <c r="S59" s="186"/>
      <c r="T59" s="186"/>
      <c r="U59" s="186"/>
      <c r="V59" s="186"/>
    </row>
    <row r="60" spans="1:22" ht="6.75" customHeight="1">
      <c r="K60" s="219"/>
      <c r="L60" s="186"/>
      <c r="M60" s="186"/>
      <c r="N60" s="186"/>
      <c r="O60" s="186"/>
      <c r="P60" s="186"/>
      <c r="Q60" s="186"/>
      <c r="R60" s="186"/>
      <c r="S60" s="186"/>
      <c r="T60" s="186"/>
      <c r="U60" s="186"/>
      <c r="V60" s="186"/>
    </row>
    <row r="61" spans="1:22">
      <c r="B61" s="218" t="s">
        <v>307</v>
      </c>
      <c r="K61" s="219"/>
      <c r="L61" s="186" t="s">
        <v>613</v>
      </c>
      <c r="M61" s="186"/>
      <c r="N61" s="186"/>
      <c r="O61" s="186"/>
      <c r="P61" s="186"/>
      <c r="Q61" s="186"/>
      <c r="R61" s="186"/>
      <c r="S61" s="186"/>
      <c r="T61" s="186"/>
      <c r="U61" s="186"/>
      <c r="V61" s="186"/>
    </row>
    <row r="62" spans="1:22" ht="13.5" customHeight="1">
      <c r="B62" s="328" t="s">
        <v>389</v>
      </c>
      <c r="K62" s="219"/>
      <c r="L62" s="598" t="s">
        <v>624</v>
      </c>
      <c r="M62" s="599"/>
      <c r="N62" s="599"/>
      <c r="O62" s="599"/>
      <c r="P62" s="599"/>
      <c r="Q62" s="599"/>
      <c r="R62" s="599"/>
      <c r="S62" s="599"/>
      <c r="T62" s="599"/>
      <c r="U62" s="599"/>
      <c r="V62" s="599"/>
    </row>
    <row r="63" spans="1:22" ht="13.5" customHeight="1">
      <c r="B63" s="329" t="s">
        <v>308</v>
      </c>
      <c r="K63" s="219"/>
      <c r="L63" s="598"/>
      <c r="M63" s="599"/>
      <c r="N63" s="599"/>
      <c r="O63" s="599"/>
      <c r="P63" s="599"/>
      <c r="Q63" s="599"/>
      <c r="R63" s="599"/>
      <c r="S63" s="599"/>
      <c r="T63" s="599"/>
      <c r="U63" s="599"/>
      <c r="V63" s="599"/>
    </row>
    <row r="64" spans="1:22">
      <c r="B64" s="329" t="s">
        <v>409</v>
      </c>
      <c r="K64" s="219"/>
      <c r="L64" s="598"/>
      <c r="M64" s="599"/>
      <c r="N64" s="599"/>
      <c r="O64" s="599"/>
      <c r="P64" s="599"/>
      <c r="Q64" s="599"/>
      <c r="R64" s="599"/>
      <c r="S64" s="599"/>
      <c r="T64" s="599"/>
      <c r="U64" s="599"/>
      <c r="V64" s="599"/>
    </row>
    <row r="65" spans="1:22" ht="13.5" customHeight="1">
      <c r="B65" s="329" t="s">
        <v>388</v>
      </c>
      <c r="K65" s="219"/>
      <c r="L65" s="598"/>
      <c r="M65" s="599"/>
      <c r="N65" s="599"/>
      <c r="O65" s="599"/>
      <c r="P65" s="599"/>
      <c r="Q65" s="599"/>
      <c r="R65" s="599"/>
      <c r="S65" s="599"/>
      <c r="T65" s="599"/>
      <c r="U65" s="599"/>
      <c r="V65" s="599"/>
    </row>
    <row r="66" spans="1:22">
      <c r="B66" s="330" t="s">
        <v>410</v>
      </c>
      <c r="C66" s="331"/>
      <c r="D66" s="331"/>
      <c r="E66" s="331"/>
      <c r="F66" s="331"/>
      <c r="G66" s="331"/>
      <c r="H66" s="331"/>
      <c r="K66" s="219"/>
      <c r="L66" s="598" t="s">
        <v>623</v>
      </c>
      <c r="M66" s="599"/>
      <c r="N66" s="599"/>
      <c r="O66" s="599"/>
      <c r="P66" s="599"/>
      <c r="Q66" s="599"/>
      <c r="R66" s="599"/>
      <c r="S66" s="599"/>
      <c r="T66" s="599"/>
      <c r="U66" s="599"/>
      <c r="V66" s="599"/>
    </row>
    <row r="67" spans="1:22">
      <c r="A67" s="208"/>
      <c r="B67" s="332" t="s">
        <v>302</v>
      </c>
      <c r="C67" s="208"/>
      <c r="D67" s="208"/>
      <c r="E67" s="208"/>
      <c r="F67" s="208"/>
      <c r="G67" s="208"/>
      <c r="H67" s="208"/>
      <c r="I67" s="208"/>
      <c r="J67" s="208"/>
      <c r="K67" s="219"/>
      <c r="L67" s="598"/>
      <c r="M67" s="599"/>
      <c r="N67" s="599"/>
      <c r="O67" s="599"/>
      <c r="P67" s="599"/>
      <c r="Q67" s="599"/>
      <c r="R67" s="599"/>
      <c r="S67" s="599"/>
      <c r="T67" s="599"/>
      <c r="U67" s="599"/>
      <c r="V67" s="599"/>
    </row>
    <row r="68" spans="1:22" ht="10.5" customHeight="1">
      <c r="A68" s="333"/>
      <c r="B68" s="197" t="s">
        <v>411</v>
      </c>
      <c r="C68" s="333"/>
      <c r="D68" s="333"/>
      <c r="E68" s="333"/>
      <c r="F68" s="333"/>
      <c r="G68" s="333"/>
      <c r="H68" s="333"/>
      <c r="I68" s="333"/>
      <c r="J68" s="333"/>
      <c r="K68" s="333"/>
      <c r="L68" s="598"/>
      <c r="M68" s="599"/>
      <c r="N68" s="599"/>
      <c r="O68" s="599"/>
      <c r="P68" s="599"/>
      <c r="Q68" s="599"/>
      <c r="R68" s="599"/>
      <c r="S68" s="599"/>
      <c r="T68" s="599"/>
      <c r="U68" s="599"/>
      <c r="V68" s="599"/>
    </row>
    <row r="69" spans="1:22" ht="10.5" customHeight="1">
      <c r="B69" s="218" t="s">
        <v>298</v>
      </c>
      <c r="L69" s="598"/>
      <c r="M69" s="599"/>
      <c r="N69" s="599"/>
      <c r="O69" s="599"/>
      <c r="P69" s="599"/>
      <c r="Q69" s="599"/>
      <c r="R69" s="599"/>
      <c r="S69" s="599"/>
      <c r="T69" s="599"/>
      <c r="U69" s="599"/>
      <c r="V69" s="599"/>
    </row>
    <row r="70" spans="1:22">
      <c r="A70" s="334"/>
      <c r="B70" s="335" t="s">
        <v>390</v>
      </c>
      <c r="C70" s="336"/>
      <c r="D70" s="337">
        <v>0</v>
      </c>
      <c r="E70" s="338"/>
      <c r="F70" s="595"/>
      <c r="G70" s="596"/>
      <c r="H70" s="596"/>
      <c r="I70" s="597"/>
      <c r="K70" s="219"/>
      <c r="L70" s="598" t="s">
        <v>625</v>
      </c>
      <c r="M70" s="599"/>
      <c r="N70" s="599"/>
      <c r="O70" s="599"/>
      <c r="P70" s="599"/>
      <c r="Q70" s="599"/>
      <c r="R70" s="599"/>
      <c r="S70" s="599"/>
      <c r="T70" s="599"/>
      <c r="U70" s="599"/>
      <c r="V70" s="599"/>
    </row>
    <row r="71" spans="1:22" ht="10.5" customHeight="1">
      <c r="A71" s="339"/>
      <c r="B71" s="340" t="s">
        <v>391</v>
      </c>
      <c r="C71" s="341"/>
      <c r="D71" s="342">
        <v>0</v>
      </c>
      <c r="E71" s="343"/>
      <c r="F71" s="344"/>
      <c r="G71" s="344"/>
      <c r="H71" s="342">
        <v>0</v>
      </c>
      <c r="I71" s="345"/>
      <c r="J71" s="208"/>
      <c r="K71" s="219"/>
      <c r="L71" s="598"/>
      <c r="M71" s="599"/>
      <c r="N71" s="599"/>
      <c r="O71" s="599"/>
      <c r="P71" s="599"/>
      <c r="Q71" s="599"/>
      <c r="R71" s="599"/>
      <c r="S71" s="599"/>
      <c r="T71" s="599"/>
      <c r="U71" s="599"/>
      <c r="V71" s="599"/>
    </row>
    <row r="72" spans="1:22" ht="10.5" customHeight="1">
      <c r="B72" s="346" t="s">
        <v>392</v>
      </c>
      <c r="C72" s="347"/>
      <c r="D72" s="348">
        <v>0</v>
      </c>
      <c r="E72" s="349"/>
      <c r="F72" s="350"/>
      <c r="G72" s="350"/>
      <c r="H72" s="348">
        <v>0</v>
      </c>
      <c r="I72" s="351"/>
      <c r="J72" s="208"/>
      <c r="K72" s="219"/>
      <c r="L72" s="328" t="s">
        <v>418</v>
      </c>
      <c r="M72" s="186"/>
      <c r="N72" s="186"/>
      <c r="O72" s="186"/>
      <c r="P72" s="186"/>
      <c r="Q72" s="186"/>
      <c r="R72" s="186"/>
      <c r="S72" s="186"/>
      <c r="T72" s="186"/>
      <c r="U72" s="186"/>
      <c r="V72" s="186"/>
    </row>
    <row r="73" spans="1:22" ht="10.5" customHeight="1">
      <c r="B73" s="352" t="s">
        <v>393</v>
      </c>
      <c r="C73" s="353"/>
      <c r="D73" s="354">
        <v>0</v>
      </c>
      <c r="E73" s="355"/>
      <c r="F73" s="356"/>
      <c r="G73" s="356"/>
      <c r="H73" s="354">
        <v>0</v>
      </c>
      <c r="I73" s="357"/>
      <c r="K73" s="358" t="s">
        <v>499</v>
      </c>
      <c r="L73" s="329" t="s">
        <v>429</v>
      </c>
      <c r="M73" s="186"/>
      <c r="N73" s="186"/>
      <c r="O73" s="186"/>
      <c r="P73" s="186"/>
      <c r="Q73" s="186"/>
      <c r="R73" s="186"/>
      <c r="S73" s="186"/>
      <c r="T73" s="186"/>
      <c r="U73" s="186"/>
      <c r="V73" s="186"/>
    </row>
    <row r="74" spans="1:22" ht="10.5" customHeight="1"/>
  </sheetData>
  <protectedRanges>
    <protectedRange sqref="H8" name="範囲1"/>
    <protectedRange sqref="D19" name="範囲1_1"/>
    <protectedRange sqref="D31" name="範囲1_2"/>
    <protectedRange sqref="H31" name="範囲1_3"/>
  </protectedRanges>
  <mergeCells count="21">
    <mergeCell ref="A1:I1"/>
    <mergeCell ref="E8:G8"/>
    <mergeCell ref="L7:V8"/>
    <mergeCell ref="B5:I6"/>
    <mergeCell ref="E12:G12"/>
    <mergeCell ref="L1:V1"/>
    <mergeCell ref="L9:V11"/>
    <mergeCell ref="L4:V6"/>
    <mergeCell ref="L12:V14"/>
    <mergeCell ref="E10:G10"/>
    <mergeCell ref="F70:I70"/>
    <mergeCell ref="L15:V18"/>
    <mergeCell ref="L32:V34"/>
    <mergeCell ref="L38:V45"/>
    <mergeCell ref="L53:V55"/>
    <mergeCell ref="L24:V27"/>
    <mergeCell ref="L62:V65"/>
    <mergeCell ref="L66:V69"/>
    <mergeCell ref="L70:V71"/>
    <mergeCell ref="L50:V52"/>
    <mergeCell ref="L46:V49"/>
  </mergeCells>
  <phoneticPr fontId="2"/>
  <conditionalFormatting sqref="B36:E36">
    <cfRule type="expression" dxfId="19" priority="10">
      <formula>$D$32="はい"</formula>
    </cfRule>
  </conditionalFormatting>
  <conditionalFormatting sqref="H36">
    <cfRule type="expression" dxfId="18" priority="4">
      <formula>$D$32="はい"</formula>
    </cfRule>
  </conditionalFormatting>
  <conditionalFormatting sqref="G47:I55">
    <cfRule type="expression" dxfId="17" priority="9">
      <formula>$D$32="いいえ"</formula>
    </cfRule>
  </conditionalFormatting>
  <conditionalFormatting sqref="H71:I73">
    <cfRule type="expression" dxfId="16" priority="8">
      <formula>OR($D$32="いいえ",$D$33="いいえ")</formula>
    </cfRule>
  </conditionalFormatting>
  <conditionalFormatting sqref="B24:E27">
    <cfRule type="expression" dxfId="15" priority="7">
      <formula>$D$23="いいえ"</formula>
    </cfRule>
  </conditionalFormatting>
  <conditionalFormatting sqref="B22:D22">
    <cfRule type="expression" dxfId="14" priority="6">
      <formula>$D$21&lt;&gt;"特別の障がい者である"</formula>
    </cfRule>
  </conditionalFormatting>
  <conditionalFormatting sqref="B33:E34">
    <cfRule type="expression" dxfId="13" priority="5">
      <formula>$D$32="いいえ"</formula>
    </cfRule>
  </conditionalFormatting>
  <conditionalFormatting sqref="G38:I44">
    <cfRule type="expression" dxfId="12" priority="3">
      <formula>$D$32="いいえ"</formula>
    </cfRule>
  </conditionalFormatting>
  <conditionalFormatting sqref="G30:I30 G32:I36 G31 I31">
    <cfRule type="expression" dxfId="11" priority="2">
      <formula>$D$32="いいえ"</formula>
    </cfRule>
  </conditionalFormatting>
  <conditionalFormatting sqref="H31">
    <cfRule type="expression" dxfId="10" priority="1">
      <formula>$D$32="いいえ"</formula>
    </cfRule>
  </conditionalFormatting>
  <dataValidations count="5">
    <dataValidation type="list" allowBlank="1" showInputMessage="1" showErrorMessage="1" sqref="H35">
      <formula1>$F$12:$F$13</formula1>
    </dataValidation>
    <dataValidation type="date" allowBlank="1" showInputMessage="1" showErrorMessage="1" sqref="H8">
      <formula1>1</formula1>
      <formula2>401404</formula2>
    </dataValidation>
    <dataValidation type="list" allowBlank="1" showInputMessage="1" showErrorMessage="1" sqref="D22:D23">
      <formula1>$F$3:$F$4</formula1>
    </dataValidation>
    <dataValidation type="whole" allowBlank="1" showInputMessage="1" showErrorMessage="1" sqref="D10">
      <formula1>2000</formula1>
      <formula2>9999</formula2>
    </dataValidation>
    <dataValidation type="date" allowBlank="1" showInputMessage="1" showErrorMessage="1" sqref="D19 D31 H31">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計算シート!$F$5:$F$7</xm:f>
          </x14:formula1>
          <xm:sqref>D21</xm:sqref>
        </x14:dataValidation>
        <x14:dataValidation type="list" allowBlank="1" showInputMessage="1" showErrorMessage="1">
          <x14:formula1>
            <xm:f>計算シート!$F$11:$F$13</xm:f>
          </x14:formula1>
          <xm:sqref>D20</xm:sqref>
        </x14:dataValidation>
        <x14:dataValidation type="list" allowBlank="1" showInputMessage="1" showErrorMessage="1">
          <x14:formula1>
            <xm:f>計算シート!$F$8:$F$10</xm:f>
          </x14:formula1>
          <xm:sqref>D36</xm:sqref>
        </x14:dataValidation>
        <x14:dataValidation type="list" allowBlank="1" showInputMessage="1" showErrorMessage="1">
          <x14:formula1>
            <xm:f>前年レート!$N$12:$N$74</xm:f>
          </x14:formula1>
          <xm:sqref>D39 D43 H39 D41 H41 H43 D24 D26</xm:sqref>
        </x14:dataValidation>
        <x14:dataValidation type="list" allowBlank="1" showInputMessage="1" showErrorMessage="1">
          <x14:formula1>
            <xm:f>計算シート!$F$5:$F$6</xm:f>
          </x14:formula1>
          <xm:sqref>D35</xm:sqref>
        </x14:dataValidation>
        <x14:dataValidation type="list" allowBlank="1" showInputMessage="1" showErrorMessage="1">
          <x14:formula1>
            <xm:f>計算シート!$F$3:$F$4</xm:f>
          </x14:formula1>
          <xm:sqref>D32:D34</xm:sqref>
        </x14:dataValidation>
        <x14:dataValidation type="list" allowBlank="1" showInputMessage="1" showErrorMessage="1">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view="pageBreakPreview" zoomScaleNormal="100" zoomScaleSheetLayoutView="100" workbookViewId="0">
      <selection activeCell="D39" sqref="D39"/>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5" width="0.625" customWidth="1"/>
    <col min="16" max="16" width="4.875" customWidth="1"/>
    <col min="27" max="27" width="4.25" customWidth="1"/>
  </cols>
  <sheetData>
    <row r="1" spans="1:27">
      <c r="A1" s="573" t="s">
        <v>498</v>
      </c>
      <c r="B1" s="573"/>
      <c r="C1" s="573"/>
      <c r="D1" s="573"/>
      <c r="E1" s="573"/>
      <c r="F1" s="573"/>
      <c r="G1" s="573"/>
      <c r="H1" s="573"/>
      <c r="I1" s="573"/>
      <c r="P1" s="183"/>
      <c r="Q1" s="573" t="s">
        <v>363</v>
      </c>
      <c r="R1" s="573"/>
      <c r="S1" s="573"/>
      <c r="T1" s="573"/>
      <c r="U1" s="573"/>
      <c r="V1" s="573"/>
      <c r="W1" s="573"/>
      <c r="X1" s="573"/>
      <c r="Y1" s="573"/>
      <c r="Z1" s="573"/>
      <c r="AA1" s="573"/>
    </row>
    <row r="2" spans="1:27" ht="6" customHeight="1">
      <c r="A2" s="506"/>
      <c r="B2" s="506"/>
      <c r="C2" s="506"/>
      <c r="D2" s="506"/>
      <c r="E2" s="506"/>
      <c r="F2" s="506"/>
      <c r="G2" s="506"/>
      <c r="H2" s="506"/>
      <c r="I2" s="506"/>
      <c r="P2" s="183"/>
    </row>
    <row r="3" spans="1:27">
      <c r="A3" s="87" t="s">
        <v>297</v>
      </c>
      <c r="C3" s="506"/>
      <c r="D3" s="506"/>
      <c r="E3" s="506"/>
      <c r="F3" s="506"/>
      <c r="G3" s="506"/>
      <c r="H3" s="506"/>
      <c r="I3" s="506"/>
      <c r="P3" s="183"/>
      <c r="Q3" s="182" t="s">
        <v>608</v>
      </c>
      <c r="R3" s="182"/>
      <c r="S3" s="182"/>
      <c r="T3" s="182"/>
      <c r="U3" s="182"/>
      <c r="V3" s="182"/>
      <c r="W3" s="182"/>
      <c r="X3" s="182"/>
      <c r="Y3" s="182"/>
      <c r="Z3" s="182"/>
      <c r="AA3" s="182"/>
    </row>
    <row r="4" spans="1:27" ht="15.75" customHeight="1">
      <c r="A4" s="506"/>
      <c r="B4" s="87"/>
      <c r="C4" s="506"/>
      <c r="D4" s="506"/>
      <c r="E4" s="506"/>
      <c r="F4" s="506"/>
      <c r="G4" s="506"/>
      <c r="H4" s="506"/>
      <c r="I4" s="506"/>
      <c r="P4" s="183"/>
      <c r="Q4" s="598" t="s">
        <v>615</v>
      </c>
      <c r="R4" s="600"/>
      <c r="S4" s="600"/>
      <c r="T4" s="600"/>
      <c r="U4" s="600"/>
      <c r="V4" s="600"/>
      <c r="W4" s="600"/>
      <c r="X4" s="600"/>
      <c r="Y4" s="600"/>
      <c r="Z4" s="600"/>
      <c r="AA4" s="600"/>
    </row>
    <row r="5" spans="1:27" ht="13.5" customHeight="1">
      <c r="A5" s="506"/>
      <c r="B5" s="574" t="s">
        <v>430</v>
      </c>
      <c r="C5" s="574"/>
      <c r="D5" s="574"/>
      <c r="E5" s="574"/>
      <c r="F5" s="574"/>
      <c r="G5" s="574"/>
      <c r="H5" s="574"/>
      <c r="I5" s="574"/>
      <c r="P5" s="183"/>
      <c r="Q5" s="598"/>
      <c r="R5" s="600"/>
      <c r="S5" s="600"/>
      <c r="T5" s="600"/>
      <c r="U5" s="600"/>
      <c r="V5" s="600"/>
      <c r="W5" s="600"/>
      <c r="X5" s="600"/>
      <c r="Y5" s="600"/>
      <c r="Z5" s="600"/>
      <c r="AA5" s="600"/>
    </row>
    <row r="6" spans="1:27">
      <c r="A6" s="506"/>
      <c r="B6" s="574"/>
      <c r="C6" s="574"/>
      <c r="D6" s="574"/>
      <c r="E6" s="574"/>
      <c r="F6" s="574"/>
      <c r="G6" s="574"/>
      <c r="H6" s="574"/>
      <c r="I6" s="574"/>
      <c r="P6" s="183"/>
      <c r="Q6" s="598"/>
      <c r="R6" s="600"/>
      <c r="S6" s="600"/>
      <c r="T6" s="600"/>
      <c r="U6" s="600"/>
      <c r="V6" s="600"/>
      <c r="W6" s="600"/>
      <c r="X6" s="600"/>
      <c r="Y6" s="600"/>
      <c r="Z6" s="600"/>
      <c r="AA6" s="600"/>
    </row>
    <row r="7" spans="1:27" ht="13.5" customHeight="1">
      <c r="A7" s="506"/>
      <c r="B7" s="507"/>
      <c r="C7" s="507"/>
      <c r="D7" s="507"/>
      <c r="E7" s="507"/>
      <c r="F7" s="507"/>
      <c r="G7" s="507"/>
      <c r="H7" s="507"/>
      <c r="I7" s="507"/>
      <c r="P7" s="183"/>
      <c r="Q7" s="598" t="s">
        <v>395</v>
      </c>
      <c r="R7" s="600"/>
      <c r="S7" s="600"/>
      <c r="T7" s="600"/>
      <c r="U7" s="600"/>
      <c r="V7" s="600"/>
      <c r="W7" s="600"/>
      <c r="X7" s="600"/>
      <c r="Y7" s="600"/>
      <c r="Z7" s="600"/>
      <c r="AA7" s="600"/>
    </row>
    <row r="8" spans="1:27" ht="14.25" thickBot="1">
      <c r="A8" s="506"/>
      <c r="B8" s="507"/>
      <c r="C8" s="507"/>
      <c r="D8" s="507"/>
      <c r="E8" s="584" t="s">
        <v>386</v>
      </c>
      <c r="F8" s="584"/>
      <c r="G8" s="584"/>
      <c r="H8" s="508">
        <v>43647</v>
      </c>
      <c r="I8" s="507"/>
      <c r="P8" s="183"/>
      <c r="Q8" s="598"/>
      <c r="R8" s="600"/>
      <c r="S8" s="600"/>
      <c r="T8" s="600"/>
      <c r="U8" s="600"/>
      <c r="V8" s="600"/>
      <c r="W8" s="600"/>
      <c r="X8" s="600"/>
      <c r="Y8" s="600"/>
      <c r="Z8" s="600"/>
      <c r="AA8" s="600"/>
    </row>
    <row r="9" spans="1:27" ht="13.5" customHeight="1">
      <c r="A9" s="506"/>
      <c r="B9" s="506"/>
      <c r="C9" s="506"/>
      <c r="D9" s="506"/>
      <c r="E9" s="57"/>
      <c r="F9" s="57"/>
      <c r="G9" s="57"/>
      <c r="H9" s="201" t="s">
        <v>431</v>
      </c>
      <c r="I9" s="165"/>
      <c r="P9" s="183"/>
      <c r="Q9" s="598" t="s">
        <v>614</v>
      </c>
      <c r="R9" s="600"/>
      <c r="S9" s="600"/>
      <c r="T9" s="600"/>
      <c r="U9" s="600"/>
      <c r="V9" s="600"/>
      <c r="W9" s="600"/>
      <c r="X9" s="600"/>
      <c r="Y9" s="600"/>
      <c r="Z9" s="600"/>
      <c r="AA9" s="600"/>
    </row>
    <row r="10" spans="1:27" ht="13.5" customHeight="1" thickBot="1">
      <c r="A10" s="506"/>
      <c r="B10" s="209" t="s">
        <v>404</v>
      </c>
      <c r="C10" s="210"/>
      <c r="D10" s="211">
        <v>2020</v>
      </c>
      <c r="E10" s="585" t="s">
        <v>401</v>
      </c>
      <c r="F10" s="585"/>
      <c r="G10" s="585"/>
      <c r="H10" s="212" t="s">
        <v>397</v>
      </c>
      <c r="I10" s="165"/>
      <c r="P10" s="183"/>
      <c r="Q10" s="598"/>
      <c r="R10" s="600"/>
      <c r="S10" s="600"/>
      <c r="T10" s="600"/>
      <c r="U10" s="600"/>
      <c r="V10" s="600"/>
      <c r="W10" s="600"/>
      <c r="X10" s="600"/>
      <c r="Y10" s="600"/>
      <c r="Z10" s="600"/>
      <c r="AA10" s="600"/>
    </row>
    <row r="11" spans="1:27" ht="14.25" thickBot="1">
      <c r="A11" s="506"/>
      <c r="B11" s="509" t="s">
        <v>432</v>
      </c>
      <c r="C11" s="77"/>
      <c r="D11" s="215">
        <v>12345678</v>
      </c>
      <c r="E11" s="359" t="s">
        <v>433</v>
      </c>
      <c r="F11" s="360">
        <v>101</v>
      </c>
      <c r="G11" s="359" t="s">
        <v>433</v>
      </c>
      <c r="H11" s="361">
        <v>901234</v>
      </c>
      <c r="I11" s="165"/>
      <c r="P11" s="183"/>
      <c r="Q11" s="598"/>
      <c r="R11" s="600"/>
      <c r="S11" s="600"/>
      <c r="T11" s="600"/>
      <c r="U11" s="600"/>
      <c r="V11" s="600"/>
      <c r="W11" s="600"/>
      <c r="X11" s="600"/>
      <c r="Y11" s="600"/>
      <c r="Z11" s="600"/>
      <c r="AA11" s="600"/>
    </row>
    <row r="12" spans="1:27" ht="14.25" customHeight="1" thickBot="1">
      <c r="B12" s="509" t="s">
        <v>434</v>
      </c>
      <c r="C12" s="77"/>
      <c r="D12" s="77" t="s">
        <v>435</v>
      </c>
      <c r="E12" s="611" t="s">
        <v>387</v>
      </c>
      <c r="F12" s="611"/>
      <c r="G12" s="611"/>
      <c r="H12" s="508">
        <v>37072</v>
      </c>
      <c r="P12" s="183"/>
      <c r="Q12" s="598" t="s">
        <v>416</v>
      </c>
      <c r="R12" s="599"/>
      <c r="S12" s="599"/>
      <c r="T12" s="599"/>
      <c r="U12" s="599"/>
      <c r="V12" s="599"/>
      <c r="W12" s="599"/>
      <c r="X12" s="599"/>
      <c r="Y12" s="599"/>
      <c r="Z12" s="599"/>
      <c r="AA12" s="599"/>
    </row>
    <row r="13" spans="1:27" ht="14.25" thickBot="1">
      <c r="B13" s="509" t="s">
        <v>276</v>
      </c>
      <c r="C13" s="88"/>
      <c r="D13" s="88" t="s">
        <v>436</v>
      </c>
      <c r="E13" s="57"/>
      <c r="F13" s="57"/>
      <c r="G13" s="57"/>
      <c r="H13" s="201" t="s">
        <v>437</v>
      </c>
      <c r="P13" s="183"/>
      <c r="Q13" s="598"/>
      <c r="R13" s="599"/>
      <c r="S13" s="599"/>
      <c r="T13" s="599"/>
      <c r="U13" s="599"/>
      <c r="V13" s="599"/>
      <c r="W13" s="599"/>
      <c r="X13" s="599"/>
      <c r="Y13" s="599"/>
      <c r="Z13" s="599"/>
      <c r="AA13" s="599"/>
    </row>
    <row r="14" spans="1:27" ht="14.25" thickBot="1">
      <c r="B14" s="509" t="s">
        <v>277</v>
      </c>
      <c r="C14" s="88"/>
      <c r="D14" s="188" t="s">
        <v>438</v>
      </c>
      <c r="E14" s="198"/>
      <c r="F14" s="198"/>
      <c r="G14" s="198"/>
      <c r="H14" s="198"/>
      <c r="P14" s="183"/>
      <c r="Q14" s="598"/>
      <c r="R14" s="599"/>
      <c r="S14" s="599"/>
      <c r="T14" s="599"/>
      <c r="U14" s="599"/>
      <c r="V14" s="599"/>
      <c r="W14" s="599"/>
      <c r="X14" s="599"/>
      <c r="Y14" s="599"/>
      <c r="Z14" s="599"/>
      <c r="AA14" s="599"/>
    </row>
    <row r="15" spans="1:27" ht="13.5" customHeight="1">
      <c r="B15" s="213" t="str">
        <f>"※ 以下、収入（所得）は【"&amp;IF(計算シート!C49=1,計算シート!C47,計算シート!C48)&amp;"年1月1日～12月31日】のものを入力してください。"</f>
        <v>※ 以下、収入（所得）は【2024年1月1日～12月31日】のものを入力してください。</v>
      </c>
      <c r="C15" s="57"/>
      <c r="D15" s="208"/>
      <c r="E15" s="198"/>
      <c r="F15" s="198"/>
      <c r="G15" s="198"/>
      <c r="H15" s="198"/>
      <c r="P15" s="183"/>
      <c r="Q15" s="612" t="s">
        <v>364</v>
      </c>
      <c r="R15" s="613"/>
      <c r="S15" s="613"/>
      <c r="T15" s="613"/>
      <c r="U15" s="613"/>
      <c r="V15" s="613"/>
      <c r="W15" s="613"/>
      <c r="X15" s="613"/>
      <c r="Y15" s="613"/>
      <c r="Z15" s="613"/>
      <c r="AA15" s="613"/>
    </row>
    <row r="16" spans="1:27">
      <c r="B16" s="213" t="str">
        <f>"    扶養等の情報は【"&amp;IF(計算シート!C49=1,計算シート!C47,計算シート!C48)&amp;"年12月31日】現在のものを入力してください。"</f>
        <v xml:space="preserve">    扶養等の情報は【2024年12月31日】現在のものを入力してください。</v>
      </c>
      <c r="C16" s="57"/>
      <c r="D16" s="208"/>
      <c r="E16" s="198"/>
      <c r="F16" s="198"/>
      <c r="G16" s="198"/>
      <c r="H16" s="198"/>
      <c r="P16" s="183"/>
      <c r="Q16" s="612"/>
      <c r="R16" s="613"/>
      <c r="S16" s="613"/>
      <c r="T16" s="613"/>
      <c r="U16" s="613"/>
      <c r="V16" s="613"/>
      <c r="W16" s="613"/>
      <c r="X16" s="613"/>
      <c r="Y16" s="613"/>
      <c r="Z16" s="613"/>
      <c r="AA16" s="613"/>
    </row>
    <row r="17" spans="1:27" ht="7.5" customHeight="1" thickBot="1">
      <c r="A17" s="80"/>
      <c r="B17" s="80"/>
      <c r="C17" s="80"/>
      <c r="D17" s="80"/>
      <c r="E17" s="80"/>
      <c r="P17" s="183"/>
      <c r="Q17" s="612"/>
      <c r="R17" s="613"/>
      <c r="S17" s="613"/>
      <c r="T17" s="613"/>
      <c r="U17" s="613"/>
      <c r="V17" s="613"/>
      <c r="W17" s="613"/>
      <c r="X17" s="613"/>
      <c r="Y17" s="613"/>
      <c r="Z17" s="613"/>
      <c r="AA17" s="613"/>
    </row>
    <row r="18" spans="1:27" s="98" customFormat="1" ht="15.6" customHeight="1" thickTop="1">
      <c r="A18" s="86" t="s">
        <v>439</v>
      </c>
      <c r="B18" s="96"/>
      <c r="C18" s="96"/>
      <c r="D18" s="96"/>
      <c r="E18" s="97"/>
      <c r="G18" s="83" t="s">
        <v>373</v>
      </c>
      <c r="H18" s="189"/>
      <c r="I18" s="97"/>
      <c r="P18" s="184"/>
      <c r="Q18" s="612"/>
      <c r="R18" s="613"/>
      <c r="S18" s="613"/>
      <c r="T18" s="613"/>
      <c r="U18" s="613"/>
      <c r="V18" s="613"/>
      <c r="W18" s="613"/>
      <c r="X18" s="613"/>
      <c r="Y18" s="613"/>
      <c r="Z18" s="613"/>
      <c r="AA18" s="613"/>
    </row>
    <row r="19" spans="1:27" s="98" customFormat="1" ht="12.95" customHeight="1" thickBot="1">
      <c r="A19" s="170" t="s">
        <v>440</v>
      </c>
      <c r="B19" s="148" t="s">
        <v>407</v>
      </c>
      <c r="C19" s="369"/>
      <c r="D19" s="366">
        <f>H12</f>
        <v>37072</v>
      </c>
      <c r="E19" s="102"/>
      <c r="G19" s="191" t="s">
        <v>374</v>
      </c>
      <c r="H19" s="75"/>
      <c r="I19" s="102"/>
      <c r="P19" s="184"/>
      <c r="Q19" s="370" t="s">
        <v>609</v>
      </c>
      <c r="R19" s="203"/>
      <c r="S19" s="203"/>
      <c r="T19" s="203"/>
      <c r="U19" s="203"/>
      <c r="V19" s="203"/>
      <c r="W19" s="203"/>
      <c r="X19" s="203"/>
      <c r="Y19" s="203"/>
      <c r="Z19" s="203"/>
      <c r="AA19" s="203"/>
    </row>
    <row r="20" spans="1:27" s="98" customFormat="1" ht="12.95" customHeight="1" thickBot="1">
      <c r="A20" s="171" t="s">
        <v>441</v>
      </c>
      <c r="B20" s="101" t="s">
        <v>293</v>
      </c>
      <c r="D20" s="58" t="s">
        <v>38</v>
      </c>
      <c r="E20" s="102"/>
      <c r="G20" s="191" t="s">
        <v>375</v>
      </c>
      <c r="H20" s="75"/>
      <c r="I20" s="102"/>
      <c r="P20" s="184"/>
      <c r="Q20" s="265" t="s">
        <v>610</v>
      </c>
      <c r="R20" s="203"/>
      <c r="S20" s="203"/>
      <c r="T20" s="203"/>
      <c r="U20" s="203"/>
      <c r="V20" s="203"/>
      <c r="W20" s="203"/>
      <c r="X20" s="203"/>
      <c r="Y20" s="203"/>
      <c r="Z20" s="203"/>
      <c r="AA20" s="203"/>
    </row>
    <row r="21" spans="1:27" s="98" customFormat="1" ht="12.95" customHeight="1" thickBot="1">
      <c r="A21" s="171" t="s">
        <v>442</v>
      </c>
      <c r="B21" s="98" t="s">
        <v>294</v>
      </c>
      <c r="C21" s="103"/>
      <c r="D21" s="90" t="s">
        <v>266</v>
      </c>
      <c r="E21" s="102"/>
      <c r="G21" s="191" t="s">
        <v>376</v>
      </c>
      <c r="H21" s="75"/>
      <c r="I21" s="102"/>
      <c r="P21" s="184"/>
      <c r="Q21" s="370" t="s">
        <v>611</v>
      </c>
      <c r="R21" s="203"/>
      <c r="S21" s="203"/>
      <c r="T21" s="203"/>
      <c r="U21" s="203"/>
      <c r="V21" s="203"/>
      <c r="W21" s="203"/>
      <c r="X21" s="203"/>
      <c r="Y21" s="203"/>
      <c r="Z21" s="203"/>
      <c r="AA21" s="203"/>
    </row>
    <row r="22" spans="1:27" s="98" customFormat="1" ht="12.95" customHeight="1" thickBot="1">
      <c r="A22" s="171" t="s">
        <v>443</v>
      </c>
      <c r="B22" s="104" t="s">
        <v>295</v>
      </c>
      <c r="C22" s="103"/>
      <c r="D22" s="73" t="s">
        <v>42</v>
      </c>
      <c r="E22" s="102"/>
      <c r="G22" s="192">
        <v>1</v>
      </c>
      <c r="H22" s="193" t="s">
        <v>377</v>
      </c>
      <c r="I22" s="195" t="s">
        <v>444</v>
      </c>
      <c r="P22" s="184"/>
      <c r="Q22" s="370" t="s">
        <v>616</v>
      </c>
      <c r="R22" s="203"/>
      <c r="S22" s="203"/>
      <c r="T22" s="203"/>
      <c r="U22" s="203"/>
      <c r="V22" s="203"/>
      <c r="W22" s="203"/>
      <c r="X22" s="203"/>
      <c r="Y22" s="203"/>
      <c r="Z22" s="203"/>
      <c r="AA22" s="203"/>
    </row>
    <row r="23" spans="1:27" s="98" customFormat="1" ht="12.95" customHeight="1" thickBot="1">
      <c r="A23" s="171" t="s">
        <v>445</v>
      </c>
      <c r="B23" s="105" t="s">
        <v>446</v>
      </c>
      <c r="C23" s="99"/>
      <c r="D23" s="58" t="s">
        <v>40</v>
      </c>
      <c r="E23" s="102"/>
      <c r="G23" s="192">
        <v>2</v>
      </c>
      <c r="H23" s="194" t="s">
        <v>447</v>
      </c>
      <c r="I23" s="195" t="s">
        <v>500</v>
      </c>
      <c r="P23" s="184"/>
      <c r="Q23" s="370" t="s">
        <v>622</v>
      </c>
      <c r="R23" s="203"/>
      <c r="S23" s="203"/>
      <c r="T23" s="203"/>
      <c r="U23" s="203"/>
      <c r="V23" s="203"/>
      <c r="W23" s="203"/>
      <c r="X23" s="203"/>
      <c r="Y23" s="203"/>
      <c r="Z23" s="203"/>
      <c r="AA23" s="203"/>
    </row>
    <row r="24" spans="1:27" s="98" customFormat="1" ht="12.95" customHeight="1" thickBot="1">
      <c r="A24" s="171" t="s">
        <v>448</v>
      </c>
      <c r="B24" s="60" t="s">
        <v>280</v>
      </c>
      <c r="C24" s="99"/>
      <c r="D24" s="73" t="s">
        <v>49</v>
      </c>
      <c r="E24" s="102"/>
      <c r="G24" s="192">
        <v>3</v>
      </c>
      <c r="H24" s="193" t="s">
        <v>449</v>
      </c>
      <c r="I24" s="195" t="s">
        <v>500</v>
      </c>
      <c r="P24" s="184"/>
      <c r="Q24" s="598" t="s">
        <v>930</v>
      </c>
      <c r="R24" s="599"/>
      <c r="S24" s="599"/>
      <c r="T24" s="599"/>
      <c r="U24" s="599"/>
      <c r="V24" s="599"/>
      <c r="W24" s="599"/>
      <c r="X24" s="599"/>
      <c r="Y24" s="599"/>
      <c r="Z24" s="599"/>
      <c r="AA24" s="599"/>
    </row>
    <row r="25" spans="1:27" s="98" customFormat="1" ht="12.95" customHeight="1" thickBot="1">
      <c r="A25" s="171" t="s">
        <v>450</v>
      </c>
      <c r="B25" s="98" t="s">
        <v>281</v>
      </c>
      <c r="D25" s="106">
        <v>0</v>
      </c>
      <c r="E25" s="100" t="s">
        <v>501</v>
      </c>
      <c r="G25" s="192">
        <v>4</v>
      </c>
      <c r="H25" s="193" t="s">
        <v>451</v>
      </c>
      <c r="I25" s="195" t="s">
        <v>502</v>
      </c>
      <c r="P25" s="184"/>
      <c r="Q25" s="598"/>
      <c r="R25" s="599"/>
      <c r="S25" s="599"/>
      <c r="T25" s="599"/>
      <c r="U25" s="599"/>
      <c r="V25" s="599"/>
      <c r="W25" s="599"/>
      <c r="X25" s="599"/>
      <c r="Y25" s="599"/>
      <c r="Z25" s="599"/>
      <c r="AA25" s="599"/>
    </row>
    <row r="26" spans="1:27" s="98" customFormat="1" ht="12.95" customHeight="1" thickBot="1">
      <c r="A26" s="171" t="s">
        <v>452</v>
      </c>
      <c r="B26" s="147" t="s">
        <v>305</v>
      </c>
      <c r="C26" s="99"/>
      <c r="D26" s="73" t="s">
        <v>49</v>
      </c>
      <c r="E26" s="102"/>
      <c r="G26" s="192">
        <v>5</v>
      </c>
      <c r="H26" s="193" t="s">
        <v>453</v>
      </c>
      <c r="I26" s="195" t="s">
        <v>500</v>
      </c>
      <c r="P26" s="184"/>
      <c r="Q26" s="598"/>
      <c r="R26" s="599"/>
      <c r="S26" s="599"/>
      <c r="T26" s="599"/>
      <c r="U26" s="599"/>
      <c r="V26" s="599"/>
      <c r="W26" s="599"/>
      <c r="X26" s="599"/>
      <c r="Y26" s="599"/>
      <c r="Z26" s="599"/>
      <c r="AA26" s="599"/>
    </row>
    <row r="27" spans="1:27" s="98" customFormat="1" ht="12.95" customHeight="1" thickBot="1">
      <c r="A27" s="172" t="s">
        <v>454</v>
      </c>
      <c r="B27" s="81" t="s">
        <v>306</v>
      </c>
      <c r="C27" s="107"/>
      <c r="D27" s="106">
        <v>0</v>
      </c>
      <c r="E27" s="108" t="s">
        <v>501</v>
      </c>
      <c r="G27" s="190"/>
      <c r="H27" s="117"/>
      <c r="I27" s="127"/>
      <c r="P27" s="184"/>
      <c r="Q27" s="598"/>
      <c r="R27" s="599"/>
      <c r="S27" s="599"/>
      <c r="T27" s="599"/>
      <c r="U27" s="599"/>
      <c r="V27" s="599"/>
      <c r="W27" s="599"/>
      <c r="X27" s="599"/>
      <c r="Y27" s="599"/>
      <c r="Z27" s="599"/>
      <c r="AA27" s="599"/>
    </row>
    <row r="28" spans="1:27" s="98" customFormat="1" ht="3" customHeight="1" thickTop="1">
      <c r="P28" s="184"/>
      <c r="Q28" s="274"/>
      <c r="R28" s="186"/>
      <c r="S28" s="186"/>
      <c r="T28" s="186"/>
      <c r="U28" s="186"/>
      <c r="V28" s="186"/>
      <c r="W28" s="186"/>
      <c r="X28" s="186"/>
      <c r="Y28" s="186"/>
      <c r="Z28" s="186"/>
      <c r="AA28" s="186"/>
    </row>
    <row r="29" spans="1:27" s="98" customFormat="1" ht="14.1" customHeight="1" thickBot="1">
      <c r="A29" s="78"/>
      <c r="B29" s="78"/>
      <c r="C29" s="79"/>
      <c r="D29" s="109" t="s">
        <v>38</v>
      </c>
      <c r="E29" s="110"/>
      <c r="F29" s="78"/>
      <c r="G29" s="79"/>
      <c r="H29" s="125" t="s">
        <v>503</v>
      </c>
      <c r="I29" s="111"/>
      <c r="J29" s="112"/>
      <c r="K29" s="407"/>
      <c r="L29" s="407"/>
      <c r="M29" s="407"/>
      <c r="N29" s="407"/>
      <c r="O29" s="407"/>
      <c r="P29" s="184"/>
      <c r="Q29" s="274"/>
      <c r="R29" s="274"/>
      <c r="S29" s="186"/>
      <c r="T29" s="186"/>
      <c r="U29" s="186"/>
      <c r="V29" s="186"/>
      <c r="W29" s="186"/>
      <c r="X29" s="186"/>
      <c r="Y29" s="186"/>
      <c r="Z29" s="186"/>
      <c r="AA29" s="186"/>
    </row>
    <row r="30" spans="1:27" s="98" customFormat="1" ht="15.6" customHeight="1" thickTop="1" thickBot="1">
      <c r="A30" s="83" t="s">
        <v>282</v>
      </c>
      <c r="B30" s="75"/>
      <c r="C30" s="76"/>
      <c r="D30" s="75"/>
      <c r="E30" s="113"/>
      <c r="F30" s="75"/>
      <c r="G30" s="76"/>
      <c r="H30" s="126" t="s">
        <v>502</v>
      </c>
      <c r="I30" s="97"/>
      <c r="J30" s="114"/>
      <c r="K30" s="407"/>
      <c r="L30" s="407"/>
      <c r="M30" s="407"/>
      <c r="N30" s="407"/>
      <c r="O30" s="407"/>
      <c r="P30" s="184"/>
      <c r="Q30" s="403" t="s">
        <v>931</v>
      </c>
      <c r="R30" s="274"/>
      <c r="S30" s="186"/>
      <c r="T30" s="186"/>
      <c r="U30" s="186"/>
      <c r="V30" s="186"/>
      <c r="W30" s="186"/>
      <c r="X30" s="186"/>
      <c r="Y30" s="186"/>
      <c r="Z30" s="186"/>
      <c r="AA30" s="186"/>
    </row>
    <row r="31" spans="1:27" s="98" customFormat="1" ht="12.95" customHeight="1" thickBot="1">
      <c r="A31" s="173" t="s">
        <v>455</v>
      </c>
      <c r="B31" s="148" t="s">
        <v>406</v>
      </c>
      <c r="C31" s="62"/>
      <c r="D31" s="214">
        <v>22037</v>
      </c>
      <c r="E31" s="114"/>
      <c r="F31" s="176" t="s">
        <v>456</v>
      </c>
      <c r="G31" s="76"/>
      <c r="H31" s="214">
        <v>22037</v>
      </c>
      <c r="I31" s="100"/>
      <c r="J31" s="114"/>
      <c r="K31" s="407"/>
      <c r="L31" s="407"/>
      <c r="M31" s="407"/>
      <c r="N31" s="407"/>
      <c r="O31" s="407"/>
      <c r="P31" s="184"/>
      <c r="Q31" s="404" t="s">
        <v>933</v>
      </c>
      <c r="R31" s="274"/>
      <c r="S31" s="186"/>
      <c r="T31" s="186"/>
      <c r="U31" s="186"/>
      <c r="V31" s="186"/>
      <c r="W31" s="186"/>
      <c r="X31" s="186"/>
      <c r="Y31" s="186"/>
      <c r="Z31" s="186"/>
      <c r="AA31" s="186"/>
    </row>
    <row r="32" spans="1:27" s="98" customFormat="1" ht="12.95" customHeight="1" thickBot="1">
      <c r="A32" s="174" t="s">
        <v>457</v>
      </c>
      <c r="B32" s="60" t="s">
        <v>309</v>
      </c>
      <c r="C32" s="62"/>
      <c r="D32" s="58" t="s">
        <v>40</v>
      </c>
      <c r="E32" s="113"/>
      <c r="F32" s="177"/>
      <c r="G32" s="76"/>
      <c r="H32" s="115"/>
      <c r="I32" s="102"/>
      <c r="J32" s="114"/>
      <c r="K32" s="407"/>
      <c r="L32" s="407"/>
      <c r="M32" s="407"/>
      <c r="N32" s="407"/>
      <c r="O32" s="407"/>
      <c r="P32" s="184"/>
      <c r="Q32" s="598" t="s">
        <v>932</v>
      </c>
      <c r="R32" s="600"/>
      <c r="S32" s="600"/>
      <c r="T32" s="600"/>
      <c r="U32" s="600"/>
      <c r="V32" s="600"/>
      <c r="W32" s="600"/>
      <c r="X32" s="600"/>
      <c r="Y32" s="600"/>
      <c r="Z32" s="600"/>
      <c r="AA32" s="600"/>
    </row>
    <row r="33" spans="1:27" s="98" customFormat="1" ht="12.95" customHeight="1" thickBot="1">
      <c r="A33" s="174" t="s">
        <v>458</v>
      </c>
      <c r="B33" s="60" t="s">
        <v>315</v>
      </c>
      <c r="C33" s="62"/>
      <c r="D33" s="58" t="s">
        <v>40</v>
      </c>
      <c r="E33" s="113"/>
      <c r="F33" s="177"/>
      <c r="G33" s="76"/>
      <c r="H33" s="115"/>
      <c r="I33" s="102"/>
      <c r="J33" s="114"/>
      <c r="K33" s="407"/>
      <c r="L33" s="407"/>
      <c r="M33" s="407"/>
      <c r="N33" s="407"/>
      <c r="O33" s="407"/>
      <c r="P33" s="184"/>
      <c r="Q33" s="598"/>
      <c r="R33" s="600"/>
      <c r="S33" s="600"/>
      <c r="T33" s="600"/>
      <c r="U33" s="600"/>
      <c r="V33" s="600"/>
      <c r="W33" s="600"/>
      <c r="X33" s="600"/>
      <c r="Y33" s="600"/>
      <c r="Z33" s="600"/>
      <c r="AA33" s="600"/>
    </row>
    <row r="34" spans="1:27" s="98" customFormat="1" ht="12.95" customHeight="1" thickBot="1">
      <c r="A34" s="174" t="s">
        <v>459</v>
      </c>
      <c r="B34" s="61" t="s">
        <v>312</v>
      </c>
      <c r="C34" s="63"/>
      <c r="D34" s="58" t="s">
        <v>40</v>
      </c>
      <c r="E34" s="113"/>
      <c r="F34" s="177"/>
      <c r="G34" s="76"/>
      <c r="H34" s="75"/>
      <c r="I34" s="102"/>
      <c r="J34" s="114"/>
      <c r="K34" s="407"/>
      <c r="L34" s="407"/>
      <c r="M34" s="407"/>
      <c r="N34" s="407"/>
      <c r="O34" s="407"/>
      <c r="P34" s="184"/>
      <c r="Q34" s="598"/>
      <c r="R34" s="600"/>
      <c r="S34" s="600"/>
      <c r="T34" s="600"/>
      <c r="U34" s="600"/>
      <c r="V34" s="600"/>
      <c r="W34" s="600"/>
      <c r="X34" s="600"/>
      <c r="Y34" s="600"/>
      <c r="Z34" s="600"/>
      <c r="AA34" s="600"/>
    </row>
    <row r="35" spans="1:27" s="98" customFormat="1" ht="12.95" customHeight="1" thickBot="1">
      <c r="A35" s="174" t="s">
        <v>460</v>
      </c>
      <c r="B35" s="60" t="s">
        <v>294</v>
      </c>
      <c r="C35" s="62"/>
      <c r="D35" s="59" t="s">
        <v>44</v>
      </c>
      <c r="E35" s="113"/>
      <c r="F35" s="178" t="s">
        <v>461</v>
      </c>
      <c r="G35" s="76"/>
      <c r="H35" s="59" t="s">
        <v>44</v>
      </c>
      <c r="I35" s="102"/>
      <c r="J35" s="114"/>
      <c r="K35" s="407"/>
      <c r="L35" s="407"/>
      <c r="M35" s="407"/>
      <c r="N35" s="407"/>
      <c r="O35" s="407"/>
      <c r="P35" s="184"/>
      <c r="Q35" s="274" t="s">
        <v>368</v>
      </c>
      <c r="R35" s="274"/>
      <c r="S35" s="274"/>
      <c r="T35" s="274"/>
      <c r="U35" s="274"/>
      <c r="V35" s="274"/>
      <c r="W35" s="274"/>
      <c r="X35" s="274"/>
      <c r="Y35" s="274"/>
      <c r="Z35" s="274"/>
      <c r="AA35" s="274"/>
    </row>
    <row r="36" spans="1:27" s="98" customFormat="1" ht="12.95" customHeight="1" thickBot="1">
      <c r="A36" s="175" t="s">
        <v>462</v>
      </c>
      <c r="B36" s="81" t="s">
        <v>296</v>
      </c>
      <c r="C36" s="82"/>
      <c r="D36" s="59" t="s">
        <v>46</v>
      </c>
      <c r="E36" s="116"/>
      <c r="F36" s="117"/>
      <c r="G36" s="122"/>
      <c r="H36" s="128"/>
      <c r="I36" s="127"/>
      <c r="J36" s="114"/>
      <c r="K36" s="407"/>
      <c r="L36" s="407"/>
      <c r="M36" s="407"/>
      <c r="N36" s="407"/>
      <c r="O36" s="407"/>
      <c r="P36" s="184"/>
      <c r="Q36" s="274" t="s">
        <v>618</v>
      </c>
      <c r="R36" s="274"/>
      <c r="S36" s="274"/>
      <c r="T36" s="274"/>
      <c r="U36" s="274"/>
      <c r="V36" s="274"/>
      <c r="W36" s="274"/>
      <c r="X36" s="274"/>
      <c r="Y36" s="274"/>
      <c r="Z36" s="274"/>
      <c r="AA36" s="274"/>
    </row>
    <row r="37" spans="1:27" s="146" customFormat="1" ht="11.25" customHeight="1" thickTop="1" thickBot="1">
      <c r="A37" s="140" t="s">
        <v>504</v>
      </c>
      <c r="B37" s="141"/>
      <c r="C37" s="142"/>
      <c r="D37" s="141"/>
      <c r="E37" s="143"/>
      <c r="F37" s="141"/>
      <c r="G37" s="142"/>
      <c r="H37" s="144"/>
      <c r="I37" s="141"/>
      <c r="J37" s="145"/>
      <c r="K37" s="442"/>
      <c r="L37" s="442"/>
      <c r="M37" s="442"/>
      <c r="N37" s="442"/>
      <c r="O37" s="442"/>
      <c r="P37" s="185"/>
      <c r="Q37" s="274"/>
      <c r="R37" s="274"/>
      <c r="S37" s="274"/>
      <c r="T37" s="274"/>
      <c r="U37" s="274"/>
      <c r="V37" s="274"/>
      <c r="W37" s="274"/>
      <c r="X37" s="274"/>
      <c r="Y37" s="274"/>
      <c r="Z37" s="274"/>
      <c r="AA37" s="274"/>
    </row>
    <row r="38" spans="1:27" s="98" customFormat="1" ht="15.6" customHeight="1" thickTop="1" thickBot="1">
      <c r="A38" s="83" t="s">
        <v>283</v>
      </c>
      <c r="B38" s="75"/>
      <c r="C38" s="76"/>
      <c r="D38" s="75"/>
      <c r="E38" s="113"/>
      <c r="F38" s="75"/>
      <c r="G38" s="76"/>
      <c r="H38" s="126" t="s">
        <v>502</v>
      </c>
      <c r="I38" s="97"/>
      <c r="J38" s="114"/>
      <c r="K38" s="407"/>
      <c r="L38" s="407"/>
      <c r="M38" s="407"/>
      <c r="N38" s="407"/>
      <c r="O38" s="407"/>
      <c r="P38" s="184"/>
      <c r="Q38" s="598" t="s">
        <v>934</v>
      </c>
      <c r="R38" s="600"/>
      <c r="S38" s="600"/>
      <c r="T38" s="600"/>
      <c r="U38" s="600"/>
      <c r="V38" s="600"/>
      <c r="W38" s="600"/>
      <c r="X38" s="600"/>
      <c r="Y38" s="600"/>
      <c r="Z38" s="600"/>
      <c r="AA38" s="600"/>
    </row>
    <row r="39" spans="1:27" s="98" customFormat="1" ht="12.95" customHeight="1" thickBot="1">
      <c r="A39" s="173" t="s">
        <v>463</v>
      </c>
      <c r="B39" s="60" t="s">
        <v>272</v>
      </c>
      <c r="C39" s="62"/>
      <c r="D39" s="73" t="s">
        <v>365</v>
      </c>
      <c r="E39" s="113"/>
      <c r="F39" s="176" t="s">
        <v>464</v>
      </c>
      <c r="G39" s="76"/>
      <c r="H39" s="73" t="s">
        <v>49</v>
      </c>
      <c r="I39" s="102"/>
      <c r="J39" s="114"/>
      <c r="K39" s="407"/>
      <c r="L39" s="407"/>
      <c r="M39" s="407"/>
      <c r="N39" s="407"/>
      <c r="O39" s="407"/>
      <c r="P39" s="184"/>
      <c r="Q39" s="598"/>
      <c r="R39" s="600"/>
      <c r="S39" s="600"/>
      <c r="T39" s="600"/>
      <c r="U39" s="600"/>
      <c r="V39" s="600"/>
      <c r="W39" s="600"/>
      <c r="X39" s="600"/>
      <c r="Y39" s="600"/>
      <c r="Z39" s="600"/>
      <c r="AA39" s="600"/>
    </row>
    <row r="40" spans="1:27" s="98" customFormat="1" ht="12.95" customHeight="1" thickBot="1">
      <c r="A40" s="174" t="s">
        <v>465</v>
      </c>
      <c r="B40" s="60" t="s">
        <v>274</v>
      </c>
      <c r="C40" s="62"/>
      <c r="D40" s="106">
        <v>42000</v>
      </c>
      <c r="E40" s="114" t="s">
        <v>505</v>
      </c>
      <c r="F40" s="178" t="s">
        <v>466</v>
      </c>
      <c r="G40" s="76"/>
      <c r="H40" s="106">
        <v>2700000</v>
      </c>
      <c r="I40" s="100" t="s">
        <v>501</v>
      </c>
      <c r="J40" s="114"/>
      <c r="K40" s="407"/>
      <c r="L40" s="407"/>
      <c r="M40" s="407"/>
      <c r="N40" s="407"/>
      <c r="O40" s="407"/>
      <c r="P40" s="184"/>
      <c r="Q40" s="598"/>
      <c r="R40" s="600"/>
      <c r="S40" s="600"/>
      <c r="T40" s="600"/>
      <c r="U40" s="600"/>
      <c r="V40" s="600"/>
      <c r="W40" s="600"/>
      <c r="X40" s="600"/>
      <c r="Y40" s="600"/>
      <c r="Z40" s="600"/>
      <c r="AA40" s="600"/>
    </row>
    <row r="41" spans="1:27" s="98" customFormat="1" ht="12.95" customHeight="1" thickBot="1">
      <c r="A41" s="174" t="s">
        <v>467</v>
      </c>
      <c r="B41" s="60" t="s">
        <v>273</v>
      </c>
      <c r="C41" s="62"/>
      <c r="D41" s="73" t="s">
        <v>365</v>
      </c>
      <c r="E41" s="113"/>
      <c r="F41" s="178" t="s">
        <v>468</v>
      </c>
      <c r="G41" s="76"/>
      <c r="H41" s="73" t="s">
        <v>49</v>
      </c>
      <c r="I41" s="102"/>
      <c r="J41" s="114"/>
      <c r="K41" s="407"/>
      <c r="L41" s="407"/>
      <c r="M41" s="407"/>
      <c r="N41" s="407"/>
      <c r="O41" s="407"/>
      <c r="P41" s="184"/>
      <c r="Q41" s="598"/>
      <c r="R41" s="600"/>
      <c r="S41" s="600"/>
      <c r="T41" s="600"/>
      <c r="U41" s="600"/>
      <c r="V41" s="600"/>
      <c r="W41" s="600"/>
      <c r="X41" s="600"/>
      <c r="Y41" s="600"/>
      <c r="Z41" s="600"/>
      <c r="AA41" s="600"/>
    </row>
    <row r="42" spans="1:27" s="98" customFormat="1" ht="12.95" customHeight="1" thickBot="1">
      <c r="A42" s="174" t="s">
        <v>469</v>
      </c>
      <c r="B42" s="60" t="s">
        <v>275</v>
      </c>
      <c r="C42" s="62"/>
      <c r="D42" s="106">
        <v>0</v>
      </c>
      <c r="E42" s="114" t="s">
        <v>505</v>
      </c>
      <c r="F42" s="178" t="s">
        <v>470</v>
      </c>
      <c r="G42" s="76"/>
      <c r="H42" s="106">
        <v>0</v>
      </c>
      <c r="I42" s="120" t="s">
        <v>501</v>
      </c>
      <c r="J42" s="114"/>
      <c r="K42" s="407"/>
      <c r="L42" s="407"/>
      <c r="M42" s="407"/>
      <c r="N42" s="407"/>
      <c r="O42" s="407"/>
      <c r="P42" s="184"/>
      <c r="Q42" s="598"/>
      <c r="R42" s="600"/>
      <c r="S42" s="600"/>
      <c r="T42" s="600"/>
      <c r="U42" s="600"/>
      <c r="V42" s="600"/>
      <c r="W42" s="600"/>
      <c r="X42" s="600"/>
      <c r="Y42" s="600"/>
      <c r="Z42" s="600"/>
      <c r="AA42" s="600"/>
    </row>
    <row r="43" spans="1:27" s="98" customFormat="1" ht="12.95" customHeight="1" thickBot="1">
      <c r="A43" s="174" t="s">
        <v>471</v>
      </c>
      <c r="B43" s="148" t="s">
        <v>303</v>
      </c>
      <c r="C43" s="62"/>
      <c r="D43" s="73" t="s">
        <v>365</v>
      </c>
      <c r="E43" s="113"/>
      <c r="F43" s="178" t="s">
        <v>472</v>
      </c>
      <c r="G43" s="76"/>
      <c r="H43" s="73" t="s">
        <v>49</v>
      </c>
      <c r="I43" s="121"/>
      <c r="J43" s="114"/>
      <c r="K43" s="407"/>
      <c r="L43" s="407"/>
      <c r="M43" s="407"/>
      <c r="N43" s="407"/>
      <c r="O43" s="407"/>
      <c r="P43" s="184"/>
      <c r="Q43" s="598"/>
      <c r="R43" s="600"/>
      <c r="S43" s="600"/>
      <c r="T43" s="600"/>
      <c r="U43" s="600"/>
      <c r="V43" s="600"/>
      <c r="W43" s="600"/>
      <c r="X43" s="600"/>
      <c r="Y43" s="600"/>
      <c r="Z43" s="600"/>
      <c r="AA43" s="600"/>
    </row>
    <row r="44" spans="1:27" s="98" customFormat="1" ht="12.95" customHeight="1" thickBot="1">
      <c r="A44" s="175" t="s">
        <v>473</v>
      </c>
      <c r="B44" s="85" t="s">
        <v>304</v>
      </c>
      <c r="C44" s="69"/>
      <c r="D44" s="106">
        <v>3500</v>
      </c>
      <c r="E44" s="116" t="s">
        <v>505</v>
      </c>
      <c r="F44" s="180" t="s">
        <v>474</v>
      </c>
      <c r="G44" s="118"/>
      <c r="H44" s="106">
        <v>0</v>
      </c>
      <c r="I44" s="120" t="s">
        <v>501</v>
      </c>
      <c r="J44" s="114"/>
      <c r="K44" s="407"/>
      <c r="L44" s="407"/>
      <c r="M44" s="407"/>
      <c r="N44" s="407"/>
      <c r="O44" s="407"/>
      <c r="P44" s="184"/>
      <c r="Q44" s="598"/>
      <c r="R44" s="600"/>
      <c r="S44" s="600"/>
      <c r="T44" s="600"/>
      <c r="U44" s="600"/>
      <c r="V44" s="600"/>
      <c r="W44" s="600"/>
      <c r="X44" s="600"/>
      <c r="Y44" s="600"/>
      <c r="Z44" s="600"/>
      <c r="AA44" s="600"/>
    </row>
    <row r="45" spans="1:27" s="98" customFormat="1" ht="6" customHeight="1" thickTop="1" thickBot="1">
      <c r="A45" s="78"/>
      <c r="B45" s="78"/>
      <c r="C45" s="84"/>
      <c r="D45" s="78"/>
      <c r="E45" s="119"/>
      <c r="F45" s="78"/>
      <c r="G45" s="84"/>
      <c r="H45" s="78"/>
      <c r="I45" s="123"/>
      <c r="J45" s="114"/>
      <c r="K45" s="407"/>
      <c r="L45" s="407"/>
      <c r="M45" s="407"/>
      <c r="N45" s="407"/>
      <c r="O45" s="407"/>
      <c r="P45" s="184"/>
      <c r="Q45" s="598"/>
      <c r="R45" s="600"/>
      <c r="S45" s="600"/>
      <c r="T45" s="600"/>
      <c r="U45" s="600"/>
      <c r="V45" s="600"/>
      <c r="W45" s="600"/>
      <c r="X45" s="600"/>
      <c r="Y45" s="600"/>
      <c r="Z45" s="600"/>
      <c r="AA45" s="600"/>
    </row>
    <row r="46" spans="1:27" s="98" customFormat="1" ht="15.6" customHeight="1" thickTop="1" thickBot="1">
      <c r="A46" s="86" t="s">
        <v>311</v>
      </c>
      <c r="B46" s="75"/>
      <c r="C46" s="76"/>
      <c r="D46" s="75"/>
      <c r="E46" s="113"/>
      <c r="F46" s="75"/>
      <c r="G46" s="76"/>
      <c r="H46" s="126" t="s">
        <v>502</v>
      </c>
      <c r="I46" s="97"/>
      <c r="J46" s="114"/>
      <c r="K46" s="407"/>
      <c r="L46" s="407"/>
      <c r="M46" s="407"/>
      <c r="N46" s="407"/>
      <c r="O46" s="407"/>
      <c r="P46" s="184"/>
      <c r="Q46" s="598"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601"/>
      <c r="S46" s="601"/>
      <c r="T46" s="601"/>
      <c r="U46" s="601"/>
      <c r="V46" s="601"/>
      <c r="W46" s="601"/>
      <c r="X46" s="601"/>
      <c r="Y46" s="601"/>
      <c r="Z46" s="601"/>
      <c r="AA46" s="601"/>
    </row>
    <row r="47" spans="1:27" s="98" customFormat="1" ht="12.95" customHeight="1" thickBot="1">
      <c r="A47" s="174" t="s">
        <v>475</v>
      </c>
      <c r="B47" s="60" t="s">
        <v>0</v>
      </c>
      <c r="C47" s="62"/>
      <c r="D47" s="58">
        <v>0</v>
      </c>
      <c r="E47" s="114" t="s">
        <v>48</v>
      </c>
      <c r="F47" s="176" t="s">
        <v>476</v>
      </c>
      <c r="G47" s="76"/>
      <c r="H47" s="58">
        <v>2</v>
      </c>
      <c r="I47" s="100" t="s">
        <v>48</v>
      </c>
      <c r="J47" s="114"/>
      <c r="K47" s="407"/>
      <c r="L47" s="407"/>
      <c r="M47" s="407"/>
      <c r="N47" s="407"/>
      <c r="O47" s="407"/>
      <c r="P47" s="184"/>
      <c r="Q47" s="602"/>
      <c r="R47" s="601"/>
      <c r="S47" s="601"/>
      <c r="T47" s="601"/>
      <c r="U47" s="601"/>
      <c r="V47" s="601"/>
      <c r="W47" s="601"/>
      <c r="X47" s="601"/>
      <c r="Y47" s="601"/>
      <c r="Z47" s="601"/>
      <c r="AA47" s="601"/>
    </row>
    <row r="48" spans="1:27" s="98" customFormat="1" ht="12.95" customHeight="1" thickBot="1">
      <c r="A48" s="174" t="s">
        <v>477</v>
      </c>
      <c r="B48" s="60" t="s">
        <v>1</v>
      </c>
      <c r="C48" s="62"/>
      <c r="D48" s="58">
        <v>0</v>
      </c>
      <c r="E48" s="114" t="s">
        <v>48</v>
      </c>
      <c r="F48" s="178" t="s">
        <v>478</v>
      </c>
      <c r="G48" s="76"/>
      <c r="H48" s="58">
        <v>0</v>
      </c>
      <c r="I48" s="100" t="s">
        <v>48</v>
      </c>
      <c r="J48" s="114"/>
      <c r="K48" s="407"/>
      <c r="L48" s="407"/>
      <c r="M48" s="407"/>
      <c r="N48" s="407"/>
      <c r="O48" s="407"/>
      <c r="P48" s="184"/>
      <c r="Q48" s="602"/>
      <c r="R48" s="601"/>
      <c r="S48" s="601"/>
      <c r="T48" s="601"/>
      <c r="U48" s="601"/>
      <c r="V48" s="601"/>
      <c r="W48" s="601"/>
      <c r="X48" s="601"/>
      <c r="Y48" s="601"/>
      <c r="Z48" s="601"/>
      <c r="AA48" s="601"/>
    </row>
    <row r="49" spans="1:27" s="98" customFormat="1" ht="12.95" customHeight="1" thickBot="1">
      <c r="A49" s="174" t="s">
        <v>479</v>
      </c>
      <c r="B49" s="60" t="s">
        <v>2</v>
      </c>
      <c r="C49" s="62"/>
      <c r="D49" s="58">
        <v>1</v>
      </c>
      <c r="E49" s="114" t="s">
        <v>48</v>
      </c>
      <c r="F49" s="178" t="s">
        <v>480</v>
      </c>
      <c r="G49" s="76"/>
      <c r="H49" s="58">
        <v>0</v>
      </c>
      <c r="I49" s="100" t="s">
        <v>48</v>
      </c>
      <c r="J49" s="114"/>
      <c r="K49" s="407"/>
      <c r="L49" s="407"/>
      <c r="M49" s="407"/>
      <c r="N49" s="407"/>
      <c r="O49" s="407"/>
      <c r="P49" s="184"/>
      <c r="Q49" s="602"/>
      <c r="R49" s="601"/>
      <c r="S49" s="601"/>
      <c r="T49" s="601"/>
      <c r="U49" s="601"/>
      <c r="V49" s="601"/>
      <c r="W49" s="601"/>
      <c r="X49" s="601"/>
      <c r="Y49" s="601"/>
      <c r="Z49" s="601"/>
      <c r="AA49" s="601"/>
    </row>
    <row r="50" spans="1:27" s="98" customFormat="1" ht="12.95" customHeight="1" thickBot="1">
      <c r="A50" s="174" t="s">
        <v>481</v>
      </c>
      <c r="B50" s="60" t="s">
        <v>3</v>
      </c>
      <c r="C50" s="62"/>
      <c r="D50" s="58">
        <v>0</v>
      </c>
      <c r="E50" s="114" t="s">
        <v>48</v>
      </c>
      <c r="F50" s="178" t="s">
        <v>482</v>
      </c>
      <c r="G50" s="76"/>
      <c r="H50" s="58">
        <v>0</v>
      </c>
      <c r="I50" s="100" t="s">
        <v>48</v>
      </c>
      <c r="J50" s="114"/>
      <c r="K50" s="407"/>
      <c r="L50" s="407"/>
      <c r="M50" s="407"/>
      <c r="N50" s="407"/>
      <c r="O50" s="407"/>
      <c r="P50" s="184"/>
      <c r="Q50" s="598" t="s">
        <v>619</v>
      </c>
      <c r="R50" s="600"/>
      <c r="S50" s="600"/>
      <c r="T50" s="600"/>
      <c r="U50" s="600"/>
      <c r="V50" s="600"/>
      <c r="W50" s="600"/>
      <c r="X50" s="600"/>
      <c r="Y50" s="600"/>
      <c r="Z50" s="600"/>
      <c r="AA50" s="600"/>
    </row>
    <row r="51" spans="1:27" s="98" customFormat="1" ht="12.95" customHeight="1" thickBot="1">
      <c r="A51" s="174" t="s">
        <v>483</v>
      </c>
      <c r="B51" s="60" t="s">
        <v>4</v>
      </c>
      <c r="C51" s="62"/>
      <c r="D51" s="58">
        <v>0</v>
      </c>
      <c r="E51" s="114" t="s">
        <v>48</v>
      </c>
      <c r="F51" s="178" t="s">
        <v>484</v>
      </c>
      <c r="G51" s="76"/>
      <c r="H51" s="58">
        <v>0</v>
      </c>
      <c r="I51" s="100" t="s">
        <v>48</v>
      </c>
      <c r="J51" s="114"/>
      <c r="K51" s="407"/>
      <c r="L51" s="407"/>
      <c r="M51" s="407"/>
      <c r="N51" s="407"/>
      <c r="O51" s="407"/>
      <c r="P51" s="184"/>
      <c r="Q51" s="598"/>
      <c r="R51" s="600"/>
      <c r="S51" s="600"/>
      <c r="T51" s="600"/>
      <c r="U51" s="600"/>
      <c r="V51" s="600"/>
      <c r="W51" s="600"/>
      <c r="X51" s="600"/>
      <c r="Y51" s="600"/>
      <c r="Z51" s="600"/>
      <c r="AA51" s="600"/>
    </row>
    <row r="52" spans="1:27" s="98" customFormat="1" ht="12.95" customHeight="1" thickBot="1">
      <c r="A52" s="174" t="s">
        <v>485</v>
      </c>
      <c r="B52" s="60" t="s">
        <v>5</v>
      </c>
      <c r="C52" s="62"/>
      <c r="D52" s="58">
        <v>0</v>
      </c>
      <c r="E52" s="114" t="s">
        <v>48</v>
      </c>
      <c r="F52" s="178" t="s">
        <v>486</v>
      </c>
      <c r="G52" s="76"/>
      <c r="H52" s="58">
        <v>0</v>
      </c>
      <c r="I52" s="100" t="s">
        <v>48</v>
      </c>
      <c r="J52" s="114"/>
      <c r="K52" s="407"/>
      <c r="L52" s="407"/>
      <c r="M52" s="407"/>
      <c r="N52" s="407"/>
      <c r="O52" s="407"/>
      <c r="P52" s="184"/>
      <c r="Q52" s="598"/>
      <c r="R52" s="600"/>
      <c r="S52" s="600"/>
      <c r="T52" s="600"/>
      <c r="U52" s="600"/>
      <c r="V52" s="600"/>
      <c r="W52" s="600"/>
      <c r="X52" s="600"/>
      <c r="Y52" s="600"/>
      <c r="Z52" s="600"/>
      <c r="AA52" s="600"/>
    </row>
    <row r="53" spans="1:27" s="98" customFormat="1" ht="12.95" customHeight="1" thickBot="1">
      <c r="A53" s="174" t="s">
        <v>487</v>
      </c>
      <c r="B53" s="60" t="s">
        <v>299</v>
      </c>
      <c r="C53" s="62"/>
      <c r="D53" s="58">
        <v>0</v>
      </c>
      <c r="E53" s="114" t="s">
        <v>48</v>
      </c>
      <c r="F53" s="178" t="s">
        <v>488</v>
      </c>
      <c r="G53" s="76"/>
      <c r="H53" s="58">
        <v>0</v>
      </c>
      <c r="I53" s="100" t="s">
        <v>48</v>
      </c>
      <c r="J53" s="114"/>
      <c r="K53" s="407"/>
      <c r="L53" s="407"/>
      <c r="M53" s="407"/>
      <c r="N53" s="407"/>
      <c r="O53" s="407"/>
      <c r="P53" s="184"/>
      <c r="Q53" s="598" t="s">
        <v>394</v>
      </c>
      <c r="R53" s="600"/>
      <c r="S53" s="600"/>
      <c r="T53" s="600"/>
      <c r="U53" s="600"/>
      <c r="V53" s="600"/>
      <c r="W53" s="600"/>
      <c r="X53" s="600"/>
      <c r="Y53" s="600"/>
      <c r="Z53" s="600"/>
      <c r="AA53" s="600"/>
    </row>
    <row r="54" spans="1:27" s="98" customFormat="1" ht="12.95" customHeight="1" thickBot="1">
      <c r="A54" s="174" t="s">
        <v>489</v>
      </c>
      <c r="B54" s="505" t="s">
        <v>300</v>
      </c>
      <c r="C54" s="64"/>
      <c r="D54" s="58">
        <v>0</v>
      </c>
      <c r="E54" s="114" t="s">
        <v>48</v>
      </c>
      <c r="F54" s="178" t="s">
        <v>490</v>
      </c>
      <c r="G54" s="76"/>
      <c r="H54" s="58">
        <v>0</v>
      </c>
      <c r="I54" s="100" t="s">
        <v>48</v>
      </c>
      <c r="J54" s="114"/>
      <c r="K54" s="407"/>
      <c r="L54" s="407"/>
      <c r="M54" s="407"/>
      <c r="N54" s="407"/>
      <c r="O54" s="407"/>
      <c r="P54" s="184"/>
      <c r="Q54" s="598"/>
      <c r="R54" s="600"/>
      <c r="S54" s="600"/>
      <c r="T54" s="600"/>
      <c r="U54" s="600"/>
      <c r="V54" s="600"/>
      <c r="W54" s="600"/>
      <c r="X54" s="600"/>
      <c r="Y54" s="600"/>
      <c r="Z54" s="600"/>
      <c r="AA54" s="600"/>
    </row>
    <row r="55" spans="1:27" s="98" customFormat="1" ht="12.95" customHeight="1" thickBot="1">
      <c r="A55" s="175" t="s">
        <v>491</v>
      </c>
      <c r="B55" s="124" t="s">
        <v>301</v>
      </c>
      <c r="C55" s="82"/>
      <c r="D55" s="58">
        <v>0</v>
      </c>
      <c r="E55" s="116" t="s">
        <v>48</v>
      </c>
      <c r="F55" s="181" t="s">
        <v>492</v>
      </c>
      <c r="G55" s="118"/>
      <c r="H55" s="58">
        <v>0</v>
      </c>
      <c r="I55" s="108" t="s">
        <v>48</v>
      </c>
      <c r="J55" s="114"/>
      <c r="K55" s="407"/>
      <c r="L55" s="407"/>
      <c r="M55" s="407"/>
      <c r="N55" s="407"/>
      <c r="O55" s="407"/>
      <c r="P55" s="184"/>
      <c r="Q55" s="598"/>
      <c r="R55" s="600"/>
      <c r="S55" s="600"/>
      <c r="T55" s="600"/>
      <c r="U55" s="600"/>
      <c r="V55" s="600"/>
      <c r="W55" s="600"/>
      <c r="X55" s="600"/>
      <c r="Y55" s="600"/>
      <c r="Z55" s="600"/>
      <c r="AA55" s="600"/>
    </row>
    <row r="56" spans="1:27" ht="6" customHeight="1" thickTop="1">
      <c r="C56" s="65"/>
      <c r="D56" s="66"/>
      <c r="E56" s="67"/>
      <c r="G56" s="65"/>
      <c r="H56" s="68"/>
      <c r="I56" s="68"/>
      <c r="J56" s="67"/>
      <c r="K56" s="57"/>
      <c r="L56" s="57"/>
      <c r="M56" s="57"/>
      <c r="N56" s="57"/>
      <c r="O56" s="57"/>
      <c r="P56" s="183"/>
      <c r="Q56" s="186"/>
      <c r="R56" s="186"/>
      <c r="S56" s="186"/>
      <c r="T56" s="186"/>
      <c r="U56" s="186"/>
      <c r="V56" s="186"/>
      <c r="W56" s="186"/>
      <c r="X56" s="186"/>
      <c r="Y56" s="186"/>
      <c r="Z56" s="186"/>
      <c r="AA56" s="186"/>
    </row>
    <row r="57" spans="1:27" ht="6.75" customHeight="1">
      <c r="P57" s="183"/>
      <c r="Q57" s="186"/>
      <c r="R57" s="186"/>
      <c r="S57" s="186"/>
      <c r="T57" s="186"/>
      <c r="U57" s="186"/>
      <c r="V57" s="186"/>
      <c r="W57" s="186"/>
      <c r="X57" s="186"/>
      <c r="Y57" s="186"/>
      <c r="Z57" s="186"/>
      <c r="AA57" s="186"/>
    </row>
    <row r="58" spans="1:27">
      <c r="B58" t="s">
        <v>307</v>
      </c>
      <c r="P58" s="183"/>
      <c r="Q58" s="186" t="s">
        <v>613</v>
      </c>
      <c r="R58" s="186"/>
      <c r="S58" s="186"/>
      <c r="T58" s="186"/>
      <c r="U58" s="186"/>
      <c r="V58" s="186"/>
      <c r="W58" s="186"/>
      <c r="X58" s="186"/>
      <c r="Y58" s="186"/>
      <c r="Z58" s="186"/>
      <c r="AA58" s="186"/>
    </row>
    <row r="59" spans="1:27" ht="13.5" customHeight="1">
      <c r="B59" s="94" t="str">
        <f>"１　国外に居住している全ての"&amp;IF(計算シート!C67=0,"生計維持者","本人及び配偶者")&amp;"の情報を入力したうえで印刷し、収入等の証明書類（和訳付）を添付してください。扶養親族がいる"</f>
        <v>１　国外に居住している全ての本人及び配偶者の情報を入力したうえで印刷し、収入等の証明書類（和訳付）を添付してください。扶養親族がいる</v>
      </c>
      <c r="P59" s="183"/>
      <c r="Q59" s="598" t="s">
        <v>624</v>
      </c>
      <c r="R59" s="599"/>
      <c r="S59" s="599"/>
      <c r="T59" s="599"/>
      <c r="U59" s="599"/>
      <c r="V59" s="599"/>
      <c r="W59" s="599"/>
      <c r="X59" s="599"/>
      <c r="Y59" s="599"/>
      <c r="Z59" s="599"/>
      <c r="AA59" s="599"/>
    </row>
    <row r="60" spans="1:27" ht="13.5" customHeight="1">
      <c r="B60" s="95" t="str">
        <f>"　場合、"&amp;IF(計算シート!C67=0,"生計維持","扶養")&amp;"者との関係を明らかにする書類も必要です。国内に居住している"&amp;IF(計算シート!C67=0,"生計維持者","本人又は配偶者")&amp;"については、マイナンバーを提出してください。"</f>
        <v>　場合、扶養者との関係を明らかにする書類も必要です。国内に居住している本人又は配偶者については、マイナンバーを提出してください。</v>
      </c>
      <c r="P60" s="183"/>
      <c r="Q60" s="598"/>
      <c r="R60" s="599"/>
      <c r="S60" s="599"/>
      <c r="T60" s="599"/>
      <c r="U60" s="599"/>
      <c r="V60" s="599"/>
      <c r="W60" s="599"/>
      <c r="X60" s="599"/>
      <c r="Y60" s="599"/>
      <c r="Z60" s="599"/>
      <c r="AA60" s="599"/>
    </row>
    <row r="61" spans="1:27">
      <c r="B61"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83"/>
      <c r="Q61" s="598"/>
      <c r="R61" s="599"/>
      <c r="S61" s="599"/>
      <c r="T61" s="599"/>
      <c r="U61" s="599"/>
      <c r="V61" s="599"/>
      <c r="W61" s="599"/>
      <c r="X61" s="599"/>
      <c r="Y61" s="599"/>
      <c r="Z61" s="599"/>
      <c r="AA61" s="599"/>
    </row>
    <row r="62" spans="1:27" ht="13.5" customHeight="1">
      <c r="B62"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83"/>
      <c r="Q62" s="598"/>
      <c r="R62" s="599"/>
      <c r="S62" s="599"/>
      <c r="T62" s="599"/>
      <c r="U62" s="599"/>
      <c r="V62" s="599"/>
      <c r="W62" s="599"/>
      <c r="X62" s="599"/>
      <c r="Y62" s="599"/>
      <c r="Z62" s="599"/>
      <c r="AA62" s="599"/>
    </row>
    <row r="63" spans="1:27" ht="13.5" customHeight="1">
      <c r="B63" s="149" t="s">
        <v>410</v>
      </c>
      <c r="C63" s="150"/>
      <c r="D63" s="150"/>
      <c r="E63" s="150"/>
      <c r="F63" s="150"/>
      <c r="G63" s="150"/>
      <c r="H63" s="150"/>
      <c r="P63" s="183"/>
      <c r="Q63" s="598" t="s">
        <v>623</v>
      </c>
      <c r="R63" s="599"/>
      <c r="S63" s="599"/>
      <c r="T63" s="599"/>
      <c r="U63" s="599"/>
      <c r="V63" s="599"/>
      <c r="W63" s="599"/>
      <c r="X63" s="599"/>
      <c r="Y63" s="599"/>
      <c r="Z63" s="599"/>
      <c r="AA63" s="599"/>
    </row>
    <row r="64" spans="1:27">
      <c r="A64" s="57"/>
      <c r="B64" s="196" t="s">
        <v>302</v>
      </c>
      <c r="C64" s="57"/>
      <c r="D64" s="57"/>
      <c r="E64" s="57"/>
      <c r="F64" s="57"/>
      <c r="G64" s="57"/>
      <c r="H64" s="57"/>
      <c r="I64" s="57"/>
      <c r="J64" s="57"/>
      <c r="K64" s="57"/>
      <c r="L64" s="57"/>
      <c r="M64" s="57"/>
      <c r="N64" s="57"/>
      <c r="O64" s="57"/>
      <c r="P64" s="183"/>
      <c r="Q64" s="598"/>
      <c r="R64" s="599"/>
      <c r="S64" s="599"/>
      <c r="T64" s="599"/>
      <c r="U64" s="599"/>
      <c r="V64" s="599"/>
      <c r="W64" s="599"/>
      <c r="X64" s="599"/>
      <c r="Y64" s="599"/>
      <c r="Z64" s="599"/>
      <c r="AA64" s="599"/>
    </row>
    <row r="65" spans="1:27">
      <c r="A65" s="57"/>
      <c r="B65"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5" s="57"/>
      <c r="D65" s="57"/>
      <c r="E65" s="57"/>
      <c r="F65" s="57"/>
      <c r="G65" s="57"/>
      <c r="H65" s="57"/>
      <c r="I65" s="57"/>
      <c r="J65" s="57"/>
      <c r="K65" s="57"/>
      <c r="L65" s="57"/>
      <c r="M65" s="57"/>
      <c r="N65" s="57"/>
      <c r="O65" s="57"/>
      <c r="P65" s="57"/>
      <c r="Q65" s="598"/>
      <c r="R65" s="599"/>
      <c r="S65" s="599"/>
      <c r="T65" s="599"/>
      <c r="U65" s="599"/>
      <c r="V65" s="599"/>
      <c r="W65" s="599"/>
      <c r="X65" s="599"/>
      <c r="Y65" s="599"/>
      <c r="Z65" s="599"/>
      <c r="AA65" s="599"/>
    </row>
    <row r="66" spans="1:27">
      <c r="A66" s="57"/>
      <c r="B66"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66" s="57"/>
      <c r="D66" s="57"/>
      <c r="E66" s="57"/>
      <c r="F66" s="57"/>
      <c r="G66" s="57"/>
      <c r="H66" s="57"/>
      <c r="I66" s="57"/>
      <c r="J66" s="57"/>
      <c r="K66" s="57"/>
      <c r="L66" s="57"/>
      <c r="M66" s="57"/>
      <c r="N66" s="57"/>
      <c r="O66" s="57"/>
      <c r="P66" s="57"/>
      <c r="Q66" s="598"/>
      <c r="R66" s="599"/>
      <c r="S66" s="599"/>
      <c r="T66" s="599"/>
      <c r="U66" s="599"/>
      <c r="V66" s="599"/>
      <c r="W66" s="599"/>
      <c r="X66" s="599"/>
      <c r="Y66" s="599"/>
      <c r="Z66" s="599"/>
      <c r="AA66" s="599"/>
    </row>
    <row r="67" spans="1:27" ht="10.5" customHeight="1">
      <c r="A67" s="139"/>
      <c r="B67" s="197" t="s">
        <v>411</v>
      </c>
      <c r="C67" s="139"/>
      <c r="D67" s="139"/>
      <c r="E67" s="139"/>
      <c r="F67" s="139"/>
      <c r="G67" s="139"/>
      <c r="H67" s="139"/>
      <c r="I67" s="139"/>
      <c r="J67" s="139"/>
      <c r="K67" s="139"/>
      <c r="L67" s="139"/>
      <c r="M67" s="139"/>
      <c r="N67" s="139"/>
      <c r="O67" s="139"/>
      <c r="P67" s="139"/>
      <c r="Q67" s="598"/>
      <c r="R67" s="599"/>
      <c r="S67" s="599"/>
      <c r="T67" s="599"/>
      <c r="U67" s="599"/>
      <c r="V67" s="599"/>
      <c r="W67" s="599"/>
      <c r="X67" s="599"/>
      <c r="Y67" s="599"/>
      <c r="Z67" s="599"/>
      <c r="AA67" s="599"/>
    </row>
    <row r="68" spans="1:27" ht="10.5" customHeight="1">
      <c r="B68" s="92" t="s">
        <v>298</v>
      </c>
      <c r="Q68" s="598"/>
      <c r="R68" s="599"/>
      <c r="S68" s="599"/>
      <c r="T68" s="599"/>
      <c r="U68" s="599"/>
      <c r="V68" s="599"/>
      <c r="W68" s="599"/>
      <c r="X68" s="599"/>
      <c r="Y68" s="599"/>
      <c r="Z68" s="599"/>
      <c r="AA68" s="599"/>
    </row>
    <row r="69" spans="1:27" ht="13.5" customHeight="1">
      <c r="A69" s="91"/>
      <c r="B69" s="129" t="s">
        <v>493</v>
      </c>
      <c r="C69" s="130"/>
      <c r="D69" s="131">
        <v>0</v>
      </c>
      <c r="E69" s="132"/>
      <c r="F69" s="608"/>
      <c r="G69" s="609"/>
      <c r="H69" s="609"/>
      <c r="I69" s="610"/>
      <c r="P69" s="183"/>
      <c r="Q69" s="598" t="s">
        <v>625</v>
      </c>
      <c r="R69" s="599"/>
      <c r="S69" s="599"/>
      <c r="T69" s="599"/>
      <c r="U69" s="599"/>
      <c r="V69" s="599"/>
      <c r="W69" s="599"/>
      <c r="X69" s="599"/>
      <c r="Y69" s="599"/>
      <c r="Z69" s="599"/>
      <c r="AA69" s="599"/>
    </row>
    <row r="70" spans="1:27" ht="10.5" customHeight="1">
      <c r="A70" s="93"/>
      <c r="B70" s="133" t="s">
        <v>494</v>
      </c>
      <c r="C70" s="134"/>
      <c r="D70" s="135">
        <v>0</v>
      </c>
      <c r="E70" s="136"/>
      <c r="F70" s="137"/>
      <c r="G70" s="137"/>
      <c r="H70" s="135">
        <v>0</v>
      </c>
      <c r="I70" s="138"/>
      <c r="J70" s="57"/>
      <c r="K70" s="57"/>
      <c r="L70" s="57"/>
      <c r="M70" s="57"/>
      <c r="N70" s="57"/>
      <c r="O70" s="57"/>
      <c r="P70" s="183"/>
      <c r="Q70" s="598"/>
      <c r="R70" s="599"/>
      <c r="S70" s="599"/>
      <c r="T70" s="599"/>
      <c r="U70" s="599"/>
      <c r="V70" s="599"/>
      <c r="W70" s="599"/>
      <c r="X70" s="599"/>
      <c r="Y70" s="599"/>
      <c r="Z70" s="599"/>
      <c r="AA70" s="599"/>
    </row>
    <row r="71" spans="1:27" ht="10.5" customHeight="1">
      <c r="B71" s="151" t="s">
        <v>495</v>
      </c>
      <c r="C71" s="152"/>
      <c r="D71" s="153">
        <v>0</v>
      </c>
      <c r="E71" s="154"/>
      <c r="F71" s="155"/>
      <c r="G71" s="155"/>
      <c r="H71" s="153">
        <v>0</v>
      </c>
      <c r="I71" s="156"/>
      <c r="J71" s="57"/>
      <c r="K71" s="57"/>
      <c r="L71" s="57"/>
      <c r="M71" s="57"/>
      <c r="N71" s="57"/>
      <c r="O71" s="57"/>
      <c r="P71" s="183"/>
      <c r="Q71" s="329" t="s">
        <v>418</v>
      </c>
      <c r="R71" s="373"/>
      <c r="S71" s="373"/>
      <c r="T71" s="373"/>
      <c r="U71" s="373"/>
      <c r="V71" s="373"/>
      <c r="W71" s="373"/>
      <c r="X71" s="373"/>
      <c r="Y71" s="373"/>
      <c r="Z71" s="373"/>
      <c r="AA71" s="373"/>
    </row>
    <row r="72" spans="1:27" ht="10.5" customHeight="1">
      <c r="B72" s="157" t="s">
        <v>496</v>
      </c>
      <c r="C72" s="158"/>
      <c r="D72" s="159">
        <v>0</v>
      </c>
      <c r="E72" s="160"/>
      <c r="F72" s="161"/>
      <c r="G72" s="161"/>
      <c r="H72" s="159">
        <v>0</v>
      </c>
      <c r="I72" s="162"/>
      <c r="P72" s="397">
        <f>MAX(修正履歴!A:A)</f>
        <v>45737</v>
      </c>
      <c r="Q72" s="372" t="s">
        <v>626</v>
      </c>
      <c r="R72" s="373"/>
      <c r="S72" s="373"/>
      <c r="T72" s="373"/>
      <c r="U72" s="373"/>
      <c r="V72" s="373"/>
      <c r="W72" s="373"/>
      <c r="X72" s="373"/>
      <c r="Y72" s="373"/>
      <c r="Z72" s="373"/>
      <c r="AA72" s="373"/>
    </row>
    <row r="73" spans="1:27" ht="10.5" customHeight="1"/>
  </sheetData>
  <protectedRanges>
    <protectedRange sqref="H8" name="範囲1"/>
    <protectedRange sqref="D19" name="範囲1_1"/>
    <protectedRange sqref="D31" name="範囲1_2"/>
    <protectedRange sqref="H31" name="範囲1_3"/>
  </protectedRanges>
  <mergeCells count="21">
    <mergeCell ref="Q46:AA49"/>
    <mergeCell ref="Q53:AA55"/>
    <mergeCell ref="Q69:AA70"/>
    <mergeCell ref="Q63:AA68"/>
    <mergeCell ref="Q59:AA62"/>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s>
  <phoneticPr fontId="2"/>
  <conditionalFormatting sqref="B36:E36">
    <cfRule type="expression" dxfId="9" priority="10">
      <formula>$D$32="はい"</formula>
    </cfRule>
  </conditionalFormatting>
  <conditionalFormatting sqref="H36">
    <cfRule type="expression" dxfId="8" priority="4">
      <formula>$D$32="はい"</formula>
    </cfRule>
  </conditionalFormatting>
  <conditionalFormatting sqref="G47:I55">
    <cfRule type="expression" dxfId="7" priority="9">
      <formula>$D$32="いいえ"</formula>
    </cfRule>
  </conditionalFormatting>
  <conditionalFormatting sqref="H70:I72">
    <cfRule type="expression" dxfId="6" priority="8">
      <formula>OR($D$32="いいえ",$D$33="いいえ")</formula>
    </cfRule>
  </conditionalFormatting>
  <conditionalFormatting sqref="B24:E27">
    <cfRule type="expression" dxfId="5" priority="7">
      <formula>$D$23="いいえ"</formula>
    </cfRule>
  </conditionalFormatting>
  <conditionalFormatting sqref="B22:D22">
    <cfRule type="expression" dxfId="4" priority="6">
      <formula>$D$21&lt;&gt;"特別の障がい者である"</formula>
    </cfRule>
  </conditionalFormatting>
  <conditionalFormatting sqref="B33:E34">
    <cfRule type="expression" dxfId="3" priority="5">
      <formula>$D$32="いいえ"</formula>
    </cfRule>
  </conditionalFormatting>
  <conditionalFormatting sqref="G38:I44">
    <cfRule type="expression" dxfId="2" priority="3">
      <formula>$D$32="いいえ"</formula>
    </cfRule>
  </conditionalFormatting>
  <conditionalFormatting sqref="G30:I30 G32:I36 G31 I31">
    <cfRule type="expression" dxfId="1" priority="2">
      <formula>$D$32="いいえ"</formula>
    </cfRule>
  </conditionalFormatting>
  <conditionalFormatting sqref="H31">
    <cfRule type="expression" dxfId="0" priority="1">
      <formula>$D$32="いいえ"</formula>
    </cfRule>
  </conditionalFormatting>
  <dataValidations count="5">
    <dataValidation type="date" allowBlank="1" showInputMessage="1" showErrorMessage="1" sqref="D19 D31 H31">
      <formula1>1</formula1>
      <formula2>73051</formula2>
    </dataValidation>
    <dataValidation type="whole" allowBlank="1" showInputMessage="1" showErrorMessage="1" sqref="D10">
      <formula1>2000</formula1>
      <formula2>9999</formula2>
    </dataValidation>
    <dataValidation type="list" allowBlank="1" showInputMessage="1" showErrorMessage="1" sqref="D22:D23">
      <formula1>$F$3:$F$4</formula1>
    </dataValidation>
    <dataValidation type="date" allowBlank="1" showInputMessage="1" showErrorMessage="1" sqref="H8">
      <formula1>1</formula1>
      <formula2>401404</formula2>
    </dataValidation>
    <dataValidation type="list" allowBlank="1" showInputMessage="1" showErrorMessage="1" sqref="H35">
      <formula1>$F$12:$F$13</formula1>
    </dataValidation>
  </dataValidations>
  <pageMargins left="0.43307086614173229" right="0.43307086614173229" top="0.35433070866141736" bottom="0.35433070866141736" header="0.11811023622047245" footer="0.11811023622047245"/>
  <pageSetup paperSize="9"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'C:\Users\FAT019\Desktop\20200325\[海外居住者のための収入等申告書_20200106_5.xlsx]計算シート'!#REF!</xm:f>
          </x14:formula1>
          <xm:sqref>H10 D20:D21 D32:D36</xm:sqref>
        </x14:dataValidation>
        <x14:dataValidation type="list" allowBlank="1" showInputMessage="1" showErrorMessage="1">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C51" sqref="C51"/>
    </sheetView>
  </sheetViews>
  <sheetFormatPr defaultColWidth="9" defaultRowHeight="14.2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c r="A1" s="3" t="s">
        <v>579</v>
      </c>
    </row>
    <row r="3" spans="1:22" ht="17.25">
      <c r="A3" s="7" t="s">
        <v>871</v>
      </c>
      <c r="B3" s="8"/>
      <c r="C3" s="8"/>
      <c r="D3" s="8"/>
      <c r="E3" s="8"/>
      <c r="F3" s="8"/>
      <c r="G3" s="8"/>
      <c r="H3" s="8"/>
      <c r="I3" s="8"/>
      <c r="J3" s="9"/>
      <c r="K3" s="10">
        <v>45280</v>
      </c>
      <c r="L3" s="11"/>
      <c r="M3" s="1"/>
      <c r="N3" s="1"/>
    </row>
    <row r="4" spans="1:22">
      <c r="A4" s="12"/>
      <c r="B4" s="13"/>
      <c r="C4" s="13"/>
      <c r="D4" s="13"/>
      <c r="E4" s="13"/>
      <c r="F4" s="13"/>
      <c r="G4" s="13"/>
      <c r="H4" s="13"/>
      <c r="I4" s="13"/>
      <c r="J4" s="14"/>
      <c r="K4" s="15" t="s">
        <v>507</v>
      </c>
      <c r="L4" s="16"/>
      <c r="M4" s="1"/>
      <c r="N4" s="1"/>
    </row>
    <row r="5" spans="1:22">
      <c r="A5" s="12"/>
      <c r="B5" s="13"/>
      <c r="C5" s="13"/>
      <c r="D5" s="13"/>
      <c r="E5" s="13"/>
      <c r="F5" s="13"/>
      <c r="G5" s="13"/>
      <c r="H5" s="13"/>
      <c r="I5" s="13"/>
      <c r="J5" s="14"/>
      <c r="K5" s="14"/>
      <c r="L5" s="17"/>
      <c r="M5" s="1"/>
      <c r="N5" s="1"/>
    </row>
    <row r="6" spans="1:22">
      <c r="A6" s="12"/>
      <c r="B6" s="13" t="s">
        <v>9</v>
      </c>
      <c r="C6" s="14"/>
      <c r="D6" s="13"/>
      <c r="E6" s="13"/>
      <c r="F6" s="13"/>
      <c r="G6" s="13"/>
      <c r="H6" s="13"/>
      <c r="I6" s="13"/>
      <c r="J6" s="13"/>
      <c r="K6" s="13"/>
      <c r="L6" s="18"/>
      <c r="M6" s="2"/>
      <c r="N6" s="1"/>
    </row>
    <row r="7" spans="1:22">
      <c r="A7" s="12"/>
      <c r="B7" s="13" t="s">
        <v>508</v>
      </c>
      <c r="C7" s="14"/>
      <c r="D7" s="13"/>
      <c r="E7" s="13"/>
      <c r="F7" s="13"/>
      <c r="G7" s="13"/>
      <c r="H7" s="13"/>
      <c r="I7" s="13"/>
      <c r="J7" s="13"/>
      <c r="K7" s="13"/>
      <c r="L7" s="18"/>
      <c r="M7" s="2"/>
      <c r="N7" s="1"/>
    </row>
    <row r="8" spans="1:22">
      <c r="A8" s="12"/>
      <c r="B8" s="13" t="s">
        <v>10</v>
      </c>
      <c r="C8" s="14"/>
      <c r="D8" s="13"/>
      <c r="E8" s="13"/>
      <c r="F8" s="13"/>
      <c r="G8" s="13"/>
      <c r="H8" s="13"/>
      <c r="I8" s="13"/>
      <c r="J8" s="13"/>
      <c r="K8" s="13"/>
      <c r="L8" s="17"/>
      <c r="M8" s="2"/>
      <c r="N8" s="1"/>
    </row>
    <row r="9" spans="1:22">
      <c r="A9" s="12"/>
      <c r="B9" s="13"/>
      <c r="C9" s="19"/>
      <c r="D9" s="19"/>
      <c r="E9" s="14"/>
      <c r="F9" s="20"/>
      <c r="G9" s="14"/>
      <c r="H9" s="13"/>
      <c r="I9" s="14"/>
      <c r="J9" s="13"/>
      <c r="K9" s="13"/>
      <c r="L9" s="17"/>
      <c r="M9" s="2"/>
      <c r="N9" s="1"/>
    </row>
    <row r="10" spans="1:22">
      <c r="A10" s="12"/>
      <c r="B10" s="21" t="s">
        <v>872</v>
      </c>
      <c r="C10" s="14"/>
      <c r="D10" s="14"/>
      <c r="E10" s="14"/>
      <c r="F10" s="20"/>
      <c r="G10" s="14"/>
      <c r="H10" s="13"/>
      <c r="I10" s="14"/>
      <c r="J10" s="13"/>
      <c r="K10" s="13"/>
      <c r="L10" s="17"/>
      <c r="M10" s="2"/>
      <c r="N10" s="1"/>
    </row>
    <row r="11" spans="1:22">
      <c r="A11" s="12"/>
      <c r="B11" s="13"/>
      <c r="C11" s="13"/>
      <c r="D11" s="13"/>
      <c r="E11" s="13"/>
      <c r="F11" s="13"/>
      <c r="G11" s="13"/>
      <c r="H11" s="13"/>
      <c r="I11" s="13"/>
      <c r="J11" s="13"/>
      <c r="K11" s="13"/>
      <c r="L11" s="17"/>
      <c r="M11" s="70" t="s">
        <v>47</v>
      </c>
      <c r="N11" s="70" t="s">
        <v>14</v>
      </c>
      <c r="O11" s="71" t="s">
        <v>15</v>
      </c>
    </row>
    <row r="12" spans="1:22">
      <c r="A12" s="12"/>
      <c r="B12" s="14"/>
      <c r="C12" s="14"/>
      <c r="D12" s="14"/>
      <c r="E12" s="14"/>
      <c r="F12" s="14"/>
      <c r="G12" s="14"/>
      <c r="H12" s="14"/>
      <c r="I12" s="14"/>
      <c r="J12" s="14"/>
      <c r="K12" s="19"/>
      <c r="L12" s="22" t="s">
        <v>11</v>
      </c>
      <c r="M12" s="70">
        <v>1</v>
      </c>
      <c r="N12" s="71" t="s">
        <v>49</v>
      </c>
      <c r="O12" s="71">
        <v>1</v>
      </c>
    </row>
    <row r="13" spans="1:22">
      <c r="A13" s="12"/>
      <c r="B13" s="14">
        <v>141.62</v>
      </c>
      <c r="C13" s="23" t="s">
        <v>509</v>
      </c>
      <c r="D13" s="24">
        <v>141.62</v>
      </c>
      <c r="E13" s="14" t="s">
        <v>510</v>
      </c>
      <c r="F13" s="14"/>
      <c r="G13" s="14"/>
      <c r="H13" s="14"/>
      <c r="I13" s="25" t="s">
        <v>6</v>
      </c>
      <c r="J13" s="14"/>
      <c r="K13" s="26">
        <v>1</v>
      </c>
      <c r="L13" s="27" t="s">
        <v>7</v>
      </c>
      <c r="M13" s="70">
        <v>2</v>
      </c>
      <c r="N13" s="70" t="s">
        <v>785</v>
      </c>
      <c r="O13" s="394">
        <f>B13</f>
        <v>141.62</v>
      </c>
    </row>
    <row r="14" spans="1:22">
      <c r="A14" s="12"/>
      <c r="B14" s="25">
        <v>1</v>
      </c>
      <c r="C14" s="25" t="s">
        <v>511</v>
      </c>
      <c r="D14" s="13"/>
      <c r="E14" s="13"/>
      <c r="F14" s="13"/>
      <c r="G14" s="13"/>
      <c r="H14" s="13"/>
      <c r="I14" s="25" t="s">
        <v>6</v>
      </c>
      <c r="J14" s="14"/>
      <c r="K14" s="28" t="s">
        <v>846</v>
      </c>
      <c r="L14" s="29" t="s">
        <v>7</v>
      </c>
      <c r="M14" s="70">
        <v>3</v>
      </c>
      <c r="N14" s="70" t="s">
        <v>786</v>
      </c>
      <c r="O14" s="395">
        <f>VALUE($K14)/$B14*$B$13</f>
        <v>103.3826</v>
      </c>
      <c r="Q14" s="48"/>
      <c r="R14" s="47"/>
      <c r="S14" s="47"/>
      <c r="T14" s="47"/>
      <c r="V14" s="47">
        <f>VALUE($K14)/$B14*$B$13</f>
        <v>103.3826</v>
      </c>
    </row>
    <row r="15" spans="1:22">
      <c r="A15" s="12"/>
      <c r="B15" s="25">
        <v>1</v>
      </c>
      <c r="C15" s="25" t="s">
        <v>512</v>
      </c>
      <c r="D15" s="13"/>
      <c r="E15" s="13"/>
      <c r="F15" s="13"/>
      <c r="G15" s="13"/>
      <c r="H15" s="13"/>
      <c r="I15" s="25" t="s">
        <v>8</v>
      </c>
      <c r="J15" s="14"/>
      <c r="K15" s="28" t="s">
        <v>849</v>
      </c>
      <c r="L15" s="30" t="s">
        <v>8</v>
      </c>
      <c r="M15" s="70">
        <v>4</v>
      </c>
      <c r="N15" s="70" t="s">
        <v>787</v>
      </c>
      <c r="O15" s="395">
        <f t="shared" ref="O15:O74" si="0">VALUE($K15)/$B15*$B$13</f>
        <v>19.826800000000002</v>
      </c>
    </row>
    <row r="16" spans="1:22">
      <c r="A16" s="12"/>
      <c r="B16" s="25">
        <v>1</v>
      </c>
      <c r="C16" s="25" t="s">
        <v>513</v>
      </c>
      <c r="D16" s="13"/>
      <c r="E16" s="13"/>
      <c r="F16" s="13"/>
      <c r="G16" s="13"/>
      <c r="H16" s="13"/>
      <c r="I16" s="25" t="s">
        <v>8</v>
      </c>
      <c r="J16" s="14"/>
      <c r="K16" s="28" t="s">
        <v>873</v>
      </c>
      <c r="L16" s="30" t="s">
        <v>8</v>
      </c>
      <c r="M16" s="70">
        <v>5</v>
      </c>
      <c r="N16" s="70" t="s">
        <v>788</v>
      </c>
      <c r="O16" s="395">
        <f t="shared" si="0"/>
        <v>13.269794000000001</v>
      </c>
    </row>
    <row r="17" spans="1:15">
      <c r="A17" s="12"/>
      <c r="B17" s="25">
        <v>1</v>
      </c>
      <c r="C17" s="25" t="s">
        <v>514</v>
      </c>
      <c r="D17" s="13"/>
      <c r="E17" s="13"/>
      <c r="F17" s="13"/>
      <c r="G17" s="13"/>
      <c r="H17" s="13"/>
      <c r="I17" s="25" t="s">
        <v>8</v>
      </c>
      <c r="J17" s="14"/>
      <c r="K17" s="28" t="s">
        <v>874</v>
      </c>
      <c r="L17" s="30" t="s">
        <v>8</v>
      </c>
      <c r="M17" s="70">
        <v>6</v>
      </c>
      <c r="N17" s="70" t="s">
        <v>789</v>
      </c>
      <c r="O17" s="395">
        <f t="shared" si="0"/>
        <v>158.61440000000002</v>
      </c>
    </row>
    <row r="18" spans="1:15" ht="15.75" customHeight="1">
      <c r="A18" s="12"/>
      <c r="B18" s="25">
        <v>1</v>
      </c>
      <c r="C18" s="25" t="s">
        <v>515</v>
      </c>
      <c r="D18" s="13"/>
      <c r="E18" s="13"/>
      <c r="F18" s="13"/>
      <c r="G18" s="13"/>
      <c r="H18" s="13"/>
      <c r="I18" s="25" t="s">
        <v>8</v>
      </c>
      <c r="J18" s="14"/>
      <c r="K18" s="28" t="s">
        <v>875</v>
      </c>
      <c r="L18" s="30" t="s">
        <v>8</v>
      </c>
      <c r="M18" s="70">
        <v>7</v>
      </c>
      <c r="N18" s="70" t="s">
        <v>790</v>
      </c>
      <c r="O18" s="395">
        <f t="shared" si="0"/>
        <v>175.6088</v>
      </c>
    </row>
    <row r="19" spans="1:15" ht="15.75" customHeight="1">
      <c r="A19" s="12"/>
      <c r="B19" s="25">
        <v>1</v>
      </c>
      <c r="C19" s="25" t="s">
        <v>516</v>
      </c>
      <c r="D19" s="13"/>
      <c r="E19" s="13"/>
      <c r="F19" s="13"/>
      <c r="G19" s="13"/>
      <c r="H19" s="13"/>
      <c r="I19" s="25" t="s">
        <v>8</v>
      </c>
      <c r="J19" s="14"/>
      <c r="K19" s="28" t="s">
        <v>876</v>
      </c>
      <c r="L19" s="30" t="s">
        <v>8</v>
      </c>
      <c r="M19" s="70">
        <v>8</v>
      </c>
      <c r="N19" s="70" t="s">
        <v>791</v>
      </c>
      <c r="O19" s="395">
        <f t="shared" si="0"/>
        <v>152.9496</v>
      </c>
    </row>
    <row r="20" spans="1:15">
      <c r="A20" s="12"/>
      <c r="B20" s="25">
        <v>1</v>
      </c>
      <c r="C20" s="25" t="s">
        <v>517</v>
      </c>
      <c r="D20" s="13"/>
      <c r="E20" s="13"/>
      <c r="F20" s="13"/>
      <c r="G20" s="13"/>
      <c r="H20" s="13"/>
      <c r="I20" s="25" t="s">
        <v>8</v>
      </c>
      <c r="J20" s="14"/>
      <c r="K20" s="28" t="s">
        <v>850</v>
      </c>
      <c r="L20" s="30" t="s">
        <v>8</v>
      </c>
      <c r="M20" s="70">
        <v>9</v>
      </c>
      <c r="N20" s="70" t="s">
        <v>792</v>
      </c>
      <c r="O20" s="395">
        <f t="shared" si="0"/>
        <v>38.520640000000007</v>
      </c>
    </row>
    <row r="21" spans="1:15">
      <c r="A21" s="12"/>
      <c r="B21" s="25">
        <v>1</v>
      </c>
      <c r="C21" s="25" t="s">
        <v>518</v>
      </c>
      <c r="D21" s="13"/>
      <c r="E21" s="13"/>
      <c r="F21" s="13"/>
      <c r="G21" s="13"/>
      <c r="H21" s="13"/>
      <c r="I21" s="25" t="s">
        <v>8</v>
      </c>
      <c r="J21" s="14"/>
      <c r="K21" s="28" t="s">
        <v>877</v>
      </c>
      <c r="L21" s="30" t="s">
        <v>8</v>
      </c>
      <c r="M21" s="70">
        <v>10</v>
      </c>
      <c r="N21" s="70" t="s">
        <v>793</v>
      </c>
      <c r="O21" s="395">
        <f t="shared" si="0"/>
        <v>0.40078460000000005</v>
      </c>
    </row>
    <row r="22" spans="1:15">
      <c r="A22" s="12"/>
      <c r="B22" s="25">
        <v>1</v>
      </c>
      <c r="C22" s="25" t="s">
        <v>519</v>
      </c>
      <c r="D22" s="13"/>
      <c r="E22" s="13"/>
      <c r="F22" s="13"/>
      <c r="G22" s="13"/>
      <c r="H22" s="13"/>
      <c r="I22" s="25" t="s">
        <v>8</v>
      </c>
      <c r="J22" s="14"/>
      <c r="K22" s="28" t="s">
        <v>878</v>
      </c>
      <c r="L22" s="30" t="s">
        <v>8</v>
      </c>
      <c r="M22" s="70">
        <v>11</v>
      </c>
      <c r="N22" s="70" t="s">
        <v>794</v>
      </c>
      <c r="O22" s="395">
        <f t="shared" si="0"/>
        <v>37.24606</v>
      </c>
    </row>
    <row r="23" spans="1:15">
      <c r="A23" s="12"/>
      <c r="B23" s="25">
        <v>1</v>
      </c>
      <c r="C23" s="25" t="s">
        <v>520</v>
      </c>
      <c r="D23" s="13"/>
      <c r="E23" s="13"/>
      <c r="F23" s="31"/>
      <c r="G23" s="13"/>
      <c r="H23" s="13"/>
      <c r="I23" s="25" t="s">
        <v>8</v>
      </c>
      <c r="J23" s="14"/>
      <c r="K23" s="28" t="s">
        <v>879</v>
      </c>
      <c r="L23" s="30" t="s">
        <v>8</v>
      </c>
      <c r="M23" s="70">
        <v>12</v>
      </c>
      <c r="N23" s="70" t="s">
        <v>795</v>
      </c>
      <c r="O23" s="395">
        <f t="shared" si="0"/>
        <v>3.2572600000000003E-4</v>
      </c>
    </row>
    <row r="24" spans="1:15">
      <c r="A24" s="12"/>
      <c r="B24" s="25">
        <v>1</v>
      </c>
      <c r="C24" s="25" t="s">
        <v>521</v>
      </c>
      <c r="D24" s="13"/>
      <c r="E24" s="13"/>
      <c r="F24" s="13"/>
      <c r="G24" s="13"/>
      <c r="H24" s="13"/>
      <c r="I24" s="25" t="s">
        <v>8</v>
      </c>
      <c r="J24" s="14"/>
      <c r="K24" s="28" t="s">
        <v>880</v>
      </c>
      <c r="L24" s="30" t="s">
        <v>8</v>
      </c>
      <c r="M24" s="70">
        <v>13</v>
      </c>
      <c r="N24" s="70" t="s">
        <v>796</v>
      </c>
      <c r="O24" s="395">
        <f t="shared" si="0"/>
        <v>1.6994400000000001</v>
      </c>
    </row>
    <row r="25" spans="1:15">
      <c r="A25" s="12"/>
      <c r="B25" s="25">
        <v>100</v>
      </c>
      <c r="C25" s="25" t="s">
        <v>522</v>
      </c>
      <c r="D25" s="13"/>
      <c r="E25" s="13"/>
      <c r="F25" s="13"/>
      <c r="G25" s="13"/>
      <c r="H25" s="13"/>
      <c r="I25" s="25" t="s">
        <v>8</v>
      </c>
      <c r="J25" s="14"/>
      <c r="K25" s="28" t="s">
        <v>881</v>
      </c>
      <c r="L25" s="30" t="s">
        <v>8</v>
      </c>
      <c r="M25" s="70">
        <v>14</v>
      </c>
      <c r="N25" s="70" t="s">
        <v>797</v>
      </c>
      <c r="O25" s="395">
        <f t="shared" si="0"/>
        <v>9.0920040000000008E-3</v>
      </c>
    </row>
    <row r="26" spans="1:15">
      <c r="A26" s="12"/>
      <c r="B26" s="25">
        <v>1</v>
      </c>
      <c r="C26" s="25" t="s">
        <v>523</v>
      </c>
      <c r="D26" s="13"/>
      <c r="E26" s="13"/>
      <c r="F26" s="13"/>
      <c r="G26" s="13"/>
      <c r="H26" s="13"/>
      <c r="I26" s="25" t="s">
        <v>8</v>
      </c>
      <c r="J26" s="14"/>
      <c r="K26" s="28" t="s">
        <v>882</v>
      </c>
      <c r="L26" s="30" t="s">
        <v>8</v>
      </c>
      <c r="M26" s="70">
        <v>15</v>
      </c>
      <c r="N26" s="70" t="s">
        <v>365</v>
      </c>
      <c r="O26" s="395">
        <f t="shared" si="0"/>
        <v>92.053000000000011</v>
      </c>
    </row>
    <row r="27" spans="1:15">
      <c r="A27" s="12"/>
      <c r="B27" s="25">
        <v>1</v>
      </c>
      <c r="C27" s="25" t="s">
        <v>524</v>
      </c>
      <c r="D27" s="13"/>
      <c r="E27" s="13"/>
      <c r="F27" s="13"/>
      <c r="G27" s="32"/>
      <c r="H27" s="13"/>
      <c r="I27" s="25" t="s">
        <v>8</v>
      </c>
      <c r="J27" s="14"/>
      <c r="K27" s="28" t="s">
        <v>525</v>
      </c>
      <c r="L27" s="30" t="s">
        <v>8</v>
      </c>
      <c r="M27" s="70">
        <v>16</v>
      </c>
      <c r="N27" s="70" t="s">
        <v>798</v>
      </c>
      <c r="O27" s="395">
        <f t="shared" si="0"/>
        <v>368.21200000000005</v>
      </c>
    </row>
    <row r="28" spans="1:15">
      <c r="A28" s="12"/>
      <c r="B28" s="25">
        <v>1</v>
      </c>
      <c r="C28" s="25" t="s">
        <v>526</v>
      </c>
      <c r="D28" s="13"/>
      <c r="E28" s="13"/>
      <c r="F28" s="13"/>
      <c r="G28" s="13"/>
      <c r="H28" s="13"/>
      <c r="I28" s="25" t="s">
        <v>8</v>
      </c>
      <c r="J28" s="14"/>
      <c r="K28" s="28" t="s">
        <v>883</v>
      </c>
      <c r="L28" s="30" t="s">
        <v>8</v>
      </c>
      <c r="M28" s="70">
        <v>17</v>
      </c>
      <c r="N28" s="70" t="s">
        <v>799</v>
      </c>
      <c r="O28" s="395">
        <f t="shared" si="0"/>
        <v>38.803880000000007</v>
      </c>
    </row>
    <row r="29" spans="1:15">
      <c r="A29" s="12"/>
      <c r="B29" s="25">
        <v>100</v>
      </c>
      <c r="C29" s="25" t="s">
        <v>527</v>
      </c>
      <c r="D29" s="13"/>
      <c r="E29" s="13"/>
      <c r="F29" s="13"/>
      <c r="G29" s="13"/>
      <c r="H29" s="13"/>
      <c r="I29" s="25" t="s">
        <v>8</v>
      </c>
      <c r="J29" s="14"/>
      <c r="K29" s="28" t="s">
        <v>884</v>
      </c>
      <c r="L29" s="30" t="s">
        <v>8</v>
      </c>
      <c r="M29" s="70">
        <v>18</v>
      </c>
      <c r="N29" s="70" t="s">
        <v>800</v>
      </c>
      <c r="O29" s="395">
        <f t="shared" si="0"/>
        <v>0.10848091999999999</v>
      </c>
    </row>
    <row r="30" spans="1:15">
      <c r="A30" s="12"/>
      <c r="B30" s="25">
        <v>100</v>
      </c>
      <c r="C30" s="25" t="s">
        <v>528</v>
      </c>
      <c r="D30" s="13"/>
      <c r="E30" s="13"/>
      <c r="F30" s="13"/>
      <c r="G30" s="13"/>
      <c r="H30" s="13"/>
      <c r="I30" s="25" t="s">
        <v>8</v>
      </c>
      <c r="J30" s="14"/>
      <c r="K30" s="28" t="s">
        <v>885</v>
      </c>
      <c r="L30" s="30" t="s">
        <v>8</v>
      </c>
      <c r="M30" s="70">
        <v>19</v>
      </c>
      <c r="N30" s="70" t="s">
        <v>801</v>
      </c>
      <c r="O30" s="395">
        <f t="shared" si="0"/>
        <v>3.4413659999999999E-2</v>
      </c>
    </row>
    <row r="31" spans="1:15">
      <c r="A31" s="12"/>
      <c r="B31" s="25">
        <v>1</v>
      </c>
      <c r="C31" s="25" t="s">
        <v>529</v>
      </c>
      <c r="D31" s="13"/>
      <c r="E31" s="13"/>
      <c r="F31" s="13"/>
      <c r="G31" s="13"/>
      <c r="H31" s="13"/>
      <c r="I31" s="25" t="s">
        <v>8</v>
      </c>
      <c r="J31" s="14"/>
      <c r="K31" s="28" t="s">
        <v>851</v>
      </c>
      <c r="L31" s="30" t="s">
        <v>8</v>
      </c>
      <c r="M31" s="70">
        <v>20</v>
      </c>
      <c r="N31" s="70" t="s">
        <v>802</v>
      </c>
      <c r="O31" s="395">
        <f t="shared" si="0"/>
        <v>458.84880000000004</v>
      </c>
    </row>
    <row r="32" spans="1:15">
      <c r="A32" s="12"/>
      <c r="B32" s="25">
        <v>1</v>
      </c>
      <c r="C32" s="25" t="s">
        <v>530</v>
      </c>
      <c r="D32" s="13"/>
      <c r="E32" s="13"/>
      <c r="F32" s="13"/>
      <c r="G32" s="13"/>
      <c r="H32" s="13"/>
      <c r="I32" s="25" t="s">
        <v>8</v>
      </c>
      <c r="J32" s="14"/>
      <c r="K32" s="28" t="s">
        <v>886</v>
      </c>
      <c r="L32" s="30" t="s">
        <v>8</v>
      </c>
      <c r="M32" s="70">
        <v>21</v>
      </c>
      <c r="N32" s="70" t="s">
        <v>803</v>
      </c>
      <c r="O32" s="395">
        <f t="shared" si="0"/>
        <v>0.93044340000000003</v>
      </c>
    </row>
    <row r="33" spans="1:15">
      <c r="A33" s="12"/>
      <c r="B33" s="25">
        <v>100</v>
      </c>
      <c r="C33" s="25" t="s">
        <v>531</v>
      </c>
      <c r="D33" s="13"/>
      <c r="E33" s="13"/>
      <c r="F33" s="13"/>
      <c r="G33" s="13"/>
      <c r="H33" s="13"/>
      <c r="I33" s="25" t="s">
        <v>8</v>
      </c>
      <c r="J33" s="14"/>
      <c r="K33" s="28" t="s">
        <v>887</v>
      </c>
      <c r="L33" s="30" t="s">
        <v>8</v>
      </c>
      <c r="M33" s="70">
        <v>22</v>
      </c>
      <c r="N33" s="70" t="s">
        <v>804</v>
      </c>
      <c r="O33" s="395">
        <f t="shared" si="0"/>
        <v>3.5121760000000002E-2</v>
      </c>
    </row>
    <row r="34" spans="1:15">
      <c r="A34" s="12"/>
      <c r="B34" s="25">
        <v>1</v>
      </c>
      <c r="C34" s="25" t="s">
        <v>532</v>
      </c>
      <c r="D34" s="13"/>
      <c r="E34" s="13"/>
      <c r="F34" s="13"/>
      <c r="G34" s="13"/>
      <c r="H34" s="13"/>
      <c r="I34" s="25" t="s">
        <v>8</v>
      </c>
      <c r="J34" s="14"/>
      <c r="K34" s="28" t="s">
        <v>888</v>
      </c>
      <c r="L34" s="30" t="s">
        <v>8</v>
      </c>
      <c r="M34" s="70">
        <v>23</v>
      </c>
      <c r="N34" s="70" t="s">
        <v>805</v>
      </c>
      <c r="O34" s="395">
        <f t="shared" si="0"/>
        <v>37.812540000000006</v>
      </c>
    </row>
    <row r="35" spans="1:15">
      <c r="A35" s="12"/>
      <c r="B35" s="25">
        <v>1</v>
      </c>
      <c r="C35" s="25" t="s">
        <v>533</v>
      </c>
      <c r="D35" s="13"/>
      <c r="E35" s="13"/>
      <c r="F35" s="13"/>
      <c r="G35" s="13"/>
      <c r="H35" s="13"/>
      <c r="I35" s="25" t="s">
        <v>8</v>
      </c>
      <c r="J35" s="14"/>
      <c r="K35" s="28" t="s">
        <v>889</v>
      </c>
      <c r="L35" s="30" t="s">
        <v>8</v>
      </c>
      <c r="M35" s="70">
        <v>24</v>
      </c>
      <c r="N35" s="70" t="s">
        <v>806</v>
      </c>
      <c r="O35" s="395">
        <f t="shared" si="0"/>
        <v>105.08204000000001</v>
      </c>
    </row>
    <row r="36" spans="1:15">
      <c r="A36" s="12"/>
      <c r="B36" s="25">
        <v>100</v>
      </c>
      <c r="C36" s="25" t="s">
        <v>534</v>
      </c>
      <c r="D36" s="13"/>
      <c r="E36" s="13"/>
      <c r="F36" s="13"/>
      <c r="G36" s="13"/>
      <c r="H36" s="13"/>
      <c r="I36" s="25" t="s">
        <v>8</v>
      </c>
      <c r="J36" s="14"/>
      <c r="K36" s="28" t="s">
        <v>890</v>
      </c>
      <c r="L36" s="30" t="s">
        <v>8</v>
      </c>
      <c r="M36" s="70">
        <v>25</v>
      </c>
      <c r="N36" s="70" t="s">
        <v>807</v>
      </c>
      <c r="O36" s="395">
        <f t="shared" si="0"/>
        <v>4.4468680000000012</v>
      </c>
    </row>
    <row r="37" spans="1:15">
      <c r="A37" s="12"/>
      <c r="B37" s="25">
        <v>100</v>
      </c>
      <c r="C37" s="25" t="s">
        <v>535</v>
      </c>
      <c r="D37" s="13"/>
      <c r="E37" s="13"/>
      <c r="F37" s="13"/>
      <c r="G37" s="13"/>
      <c r="H37" s="13"/>
      <c r="I37" s="25" t="s">
        <v>8</v>
      </c>
      <c r="J37" s="14"/>
      <c r="K37" s="28" t="s">
        <v>891</v>
      </c>
      <c r="L37" s="30" t="s">
        <v>8</v>
      </c>
      <c r="M37" s="70">
        <v>26</v>
      </c>
      <c r="N37" s="70" t="s">
        <v>808</v>
      </c>
      <c r="O37" s="395">
        <f t="shared" si="0"/>
        <v>0.43194099999999996</v>
      </c>
    </row>
    <row r="38" spans="1:15">
      <c r="A38" s="12"/>
      <c r="B38" s="25">
        <v>1</v>
      </c>
      <c r="C38" s="25" t="s">
        <v>536</v>
      </c>
      <c r="D38" s="13"/>
      <c r="E38" s="13"/>
      <c r="F38" s="13"/>
      <c r="G38" s="13"/>
      <c r="H38" s="13"/>
      <c r="I38" s="25" t="s">
        <v>8</v>
      </c>
      <c r="J38" s="14"/>
      <c r="K38" s="28" t="s">
        <v>892</v>
      </c>
      <c r="L38" s="30" t="s">
        <v>8</v>
      </c>
      <c r="M38" s="70">
        <v>27</v>
      </c>
      <c r="N38" s="70" t="s">
        <v>809</v>
      </c>
      <c r="O38" s="395">
        <f t="shared" si="0"/>
        <v>10.309936</v>
      </c>
    </row>
    <row r="39" spans="1:15">
      <c r="A39" s="12"/>
      <c r="B39" s="25">
        <v>100</v>
      </c>
      <c r="C39" s="25" t="s">
        <v>537</v>
      </c>
      <c r="D39" s="13"/>
      <c r="E39" s="13"/>
      <c r="F39" s="13"/>
      <c r="G39" s="13"/>
      <c r="H39" s="13"/>
      <c r="I39" s="25" t="s">
        <v>8</v>
      </c>
      <c r="J39" s="14"/>
      <c r="K39" s="28" t="s">
        <v>893</v>
      </c>
      <c r="L39" s="30" t="s">
        <v>8</v>
      </c>
      <c r="M39" s="70">
        <v>28</v>
      </c>
      <c r="N39" s="70" t="s">
        <v>810</v>
      </c>
      <c r="O39" s="395">
        <f t="shared" si="0"/>
        <v>3.993684</v>
      </c>
    </row>
    <row r="40" spans="1:15">
      <c r="A40" s="12"/>
      <c r="B40" s="25">
        <v>100</v>
      </c>
      <c r="C40" s="25" t="s">
        <v>538</v>
      </c>
      <c r="D40" s="13"/>
      <c r="E40" s="13"/>
      <c r="F40" s="13"/>
      <c r="G40" s="13"/>
      <c r="H40" s="13"/>
      <c r="I40" s="25" t="s">
        <v>8</v>
      </c>
      <c r="J40" s="14"/>
      <c r="K40" s="28" t="s">
        <v>894</v>
      </c>
      <c r="L40" s="30" t="s">
        <v>8</v>
      </c>
      <c r="M40" s="70">
        <v>29</v>
      </c>
      <c r="N40" s="70" t="s">
        <v>811</v>
      </c>
      <c r="O40" s="395">
        <f t="shared" si="0"/>
        <v>1.2745800000000003</v>
      </c>
    </row>
    <row r="41" spans="1:15">
      <c r="A41" s="12"/>
      <c r="B41" s="25">
        <v>1</v>
      </c>
      <c r="C41" s="25" t="s">
        <v>539</v>
      </c>
      <c r="D41" s="13"/>
      <c r="E41" s="13"/>
      <c r="F41" s="13"/>
      <c r="G41" s="13"/>
      <c r="H41" s="13"/>
      <c r="I41" s="25" t="s">
        <v>8</v>
      </c>
      <c r="J41" s="14"/>
      <c r="K41" s="28" t="s">
        <v>895</v>
      </c>
      <c r="L41" s="30" t="s">
        <v>8</v>
      </c>
      <c r="M41" s="70">
        <v>30</v>
      </c>
      <c r="N41" s="70" t="s">
        <v>812</v>
      </c>
      <c r="O41" s="395">
        <f t="shared" si="0"/>
        <v>6.2596040000000004</v>
      </c>
    </row>
    <row r="42" spans="1:15">
      <c r="A42" s="12"/>
      <c r="B42" s="25">
        <v>100</v>
      </c>
      <c r="C42" s="25" t="s">
        <v>540</v>
      </c>
      <c r="D42" s="13"/>
      <c r="E42" s="13"/>
      <c r="F42" s="13"/>
      <c r="G42" s="13"/>
      <c r="H42" s="13"/>
      <c r="I42" s="25" t="s">
        <v>8</v>
      </c>
      <c r="J42" s="14"/>
      <c r="K42" s="28" t="s">
        <v>896</v>
      </c>
      <c r="L42" s="30" t="s">
        <v>8</v>
      </c>
      <c r="M42" s="70">
        <v>31</v>
      </c>
      <c r="N42" s="70" t="s">
        <v>813</v>
      </c>
      <c r="O42" s="395">
        <f t="shared" si="0"/>
        <v>0.1600306</v>
      </c>
    </row>
    <row r="43" spans="1:15">
      <c r="A43" s="12"/>
      <c r="B43" s="25">
        <v>1</v>
      </c>
      <c r="C43" s="25" t="s">
        <v>541</v>
      </c>
      <c r="D43" s="13"/>
      <c r="E43" s="13"/>
      <c r="F43" s="13"/>
      <c r="G43" s="13"/>
      <c r="H43" s="13"/>
      <c r="I43" s="25" t="s">
        <v>8</v>
      </c>
      <c r="J43" s="14"/>
      <c r="K43" s="28" t="s">
        <v>897</v>
      </c>
      <c r="L43" s="30" t="s">
        <v>8</v>
      </c>
      <c r="M43" s="70">
        <v>32</v>
      </c>
      <c r="N43" s="70" t="s">
        <v>814</v>
      </c>
      <c r="O43" s="395">
        <f t="shared" si="0"/>
        <v>20.5349</v>
      </c>
    </row>
    <row r="44" spans="1:15">
      <c r="A44" s="12"/>
      <c r="B44" s="25">
        <v>1</v>
      </c>
      <c r="C44" s="25" t="s">
        <v>542</v>
      </c>
      <c r="D44" s="13"/>
      <c r="E44" s="13"/>
      <c r="F44" s="13"/>
      <c r="G44" s="13"/>
      <c r="H44" s="13"/>
      <c r="I44" s="25" t="s">
        <v>8</v>
      </c>
      <c r="J44" s="14"/>
      <c r="K44" s="28" t="s">
        <v>853</v>
      </c>
      <c r="L44" s="30" t="s">
        <v>8</v>
      </c>
      <c r="M44" s="70">
        <v>33</v>
      </c>
      <c r="N44" s="70" t="s">
        <v>815</v>
      </c>
      <c r="O44" s="395">
        <f t="shared" si="0"/>
        <v>20.959759999999999</v>
      </c>
    </row>
    <row r="45" spans="1:15">
      <c r="A45" s="12"/>
      <c r="B45" s="25">
        <v>1</v>
      </c>
      <c r="C45" s="25" t="s">
        <v>543</v>
      </c>
      <c r="D45" s="13"/>
      <c r="E45" s="13"/>
      <c r="F45" s="13"/>
      <c r="G45" s="13"/>
      <c r="H45" s="13"/>
      <c r="I45" s="25" t="s">
        <v>8</v>
      </c>
      <c r="J45" s="14"/>
      <c r="K45" s="28" t="s">
        <v>898</v>
      </c>
      <c r="L45" s="30" t="s">
        <v>8</v>
      </c>
      <c r="M45" s="70">
        <v>34</v>
      </c>
      <c r="N45" s="70" t="s">
        <v>816</v>
      </c>
      <c r="O45" s="395">
        <f t="shared" si="0"/>
        <v>4.9425379999999999</v>
      </c>
    </row>
    <row r="46" spans="1:15">
      <c r="A46" s="12"/>
      <c r="B46" s="25">
        <v>1</v>
      </c>
      <c r="C46" s="25" t="s">
        <v>544</v>
      </c>
      <c r="D46" s="13"/>
      <c r="E46" s="13"/>
      <c r="F46" s="13"/>
      <c r="G46" s="13"/>
      <c r="H46" s="13"/>
      <c r="I46" s="25" t="s">
        <v>8</v>
      </c>
      <c r="J46" s="14"/>
      <c r="K46" s="28" t="s">
        <v>899</v>
      </c>
      <c r="L46" s="30" t="s">
        <v>8</v>
      </c>
      <c r="M46" s="70">
        <v>35</v>
      </c>
      <c r="N46" s="70" t="s">
        <v>817</v>
      </c>
      <c r="O46" s="395">
        <f t="shared" si="0"/>
        <v>0.1727764</v>
      </c>
    </row>
    <row r="47" spans="1:15">
      <c r="A47" s="12"/>
      <c r="B47" s="25">
        <v>1</v>
      </c>
      <c r="C47" s="25" t="s">
        <v>545</v>
      </c>
      <c r="D47" s="13"/>
      <c r="E47" s="13"/>
      <c r="F47" s="13"/>
      <c r="G47" s="13"/>
      <c r="H47" s="13"/>
      <c r="I47" s="25" t="s">
        <v>8</v>
      </c>
      <c r="J47" s="14"/>
      <c r="K47" s="28" t="s">
        <v>900</v>
      </c>
      <c r="L47" s="30" t="s">
        <v>8</v>
      </c>
      <c r="M47" s="70">
        <v>36</v>
      </c>
      <c r="N47" s="70" t="s">
        <v>818</v>
      </c>
      <c r="O47" s="395">
        <f t="shared" si="0"/>
        <v>84.971999999999994</v>
      </c>
    </row>
    <row r="48" spans="1:15">
      <c r="A48" s="12"/>
      <c r="B48" s="25">
        <v>1</v>
      </c>
      <c r="C48" s="25" t="s">
        <v>546</v>
      </c>
      <c r="D48" s="13"/>
      <c r="E48" s="13"/>
      <c r="F48" s="13"/>
      <c r="G48" s="13"/>
      <c r="H48" s="13"/>
      <c r="I48" s="25" t="s">
        <v>8</v>
      </c>
      <c r="J48" s="14"/>
      <c r="K48" s="28" t="s">
        <v>901</v>
      </c>
      <c r="L48" s="30" t="s">
        <v>8</v>
      </c>
      <c r="M48" s="70">
        <v>37</v>
      </c>
      <c r="N48" s="70" t="s">
        <v>819</v>
      </c>
      <c r="O48" s="395">
        <f t="shared" si="0"/>
        <v>12.986554000000002</v>
      </c>
    </row>
    <row r="49" spans="1:15">
      <c r="A49" s="12"/>
      <c r="B49" s="25">
        <v>1</v>
      </c>
      <c r="C49" s="25" t="s">
        <v>547</v>
      </c>
      <c r="D49" s="13"/>
      <c r="E49" s="13"/>
      <c r="F49" s="13"/>
      <c r="G49" s="13"/>
      <c r="H49" s="13"/>
      <c r="I49" s="25" t="s">
        <v>8</v>
      </c>
      <c r="J49" s="14"/>
      <c r="K49" s="28" t="s">
        <v>902</v>
      </c>
      <c r="L49" s="30" t="s">
        <v>8</v>
      </c>
      <c r="M49" s="70">
        <v>38</v>
      </c>
      <c r="N49" s="70" t="s">
        <v>820</v>
      </c>
      <c r="O49" s="395">
        <f t="shared" si="0"/>
        <v>0.49567</v>
      </c>
    </row>
    <row r="50" spans="1:15">
      <c r="A50" s="12"/>
      <c r="B50" s="25">
        <v>100</v>
      </c>
      <c r="C50" s="25" t="s">
        <v>548</v>
      </c>
      <c r="D50" s="13"/>
      <c r="E50" s="13"/>
      <c r="F50" s="13"/>
      <c r="G50" s="13"/>
      <c r="H50" s="13"/>
      <c r="I50" s="25" t="s">
        <v>8</v>
      </c>
      <c r="J50" s="14"/>
      <c r="K50" s="28" t="s">
        <v>903</v>
      </c>
      <c r="L50" s="30" t="s">
        <v>8</v>
      </c>
      <c r="M50" s="70">
        <v>39</v>
      </c>
      <c r="N50" s="70" t="s">
        <v>821</v>
      </c>
      <c r="O50" s="395">
        <f t="shared" si="0"/>
        <v>1.1655325999999999</v>
      </c>
    </row>
    <row r="51" spans="1:15">
      <c r="A51" s="12"/>
      <c r="B51" s="25">
        <v>1</v>
      </c>
      <c r="C51" s="25" t="s">
        <v>549</v>
      </c>
      <c r="D51" s="13"/>
      <c r="E51" s="13"/>
      <c r="F51" s="13"/>
      <c r="G51" s="13"/>
      <c r="H51" s="13"/>
      <c r="I51" s="25" t="s">
        <v>8</v>
      </c>
      <c r="J51" s="14"/>
      <c r="K51" s="28" t="s">
        <v>904</v>
      </c>
      <c r="L51" s="30" t="s">
        <v>8</v>
      </c>
      <c r="M51" s="70">
        <v>40</v>
      </c>
      <c r="N51" s="70" t="s">
        <v>822</v>
      </c>
      <c r="O51" s="395">
        <f t="shared" si="0"/>
        <v>38.095780000000005</v>
      </c>
    </row>
    <row r="52" spans="1:15">
      <c r="A52" s="12"/>
      <c r="B52" s="25">
        <v>1</v>
      </c>
      <c r="C52" s="25" t="s">
        <v>550</v>
      </c>
      <c r="D52" s="13"/>
      <c r="E52" s="13"/>
      <c r="F52" s="13"/>
      <c r="G52" s="13"/>
      <c r="H52" s="13"/>
      <c r="I52" s="25" t="s">
        <v>8</v>
      </c>
      <c r="J52" s="14"/>
      <c r="K52" s="28" t="s">
        <v>854</v>
      </c>
      <c r="L52" s="30" t="s">
        <v>8</v>
      </c>
      <c r="M52" s="70">
        <v>41</v>
      </c>
      <c r="N52" s="70" t="s">
        <v>823</v>
      </c>
      <c r="O52" s="395">
        <f t="shared" si="0"/>
        <v>375.29300000000001</v>
      </c>
    </row>
    <row r="53" spans="1:15">
      <c r="A53" s="12"/>
      <c r="B53" s="25">
        <v>100</v>
      </c>
      <c r="C53" s="25" t="s">
        <v>551</v>
      </c>
      <c r="D53" s="13"/>
      <c r="E53" s="13"/>
      <c r="F53" s="13"/>
      <c r="G53" s="13"/>
      <c r="H53" s="13"/>
      <c r="I53" s="25" t="s">
        <v>8</v>
      </c>
      <c r="J53" s="14"/>
      <c r="K53" s="28" t="s">
        <v>905</v>
      </c>
      <c r="L53" s="30" t="s">
        <v>8</v>
      </c>
      <c r="M53" s="70">
        <v>42</v>
      </c>
      <c r="N53" s="70" t="s">
        <v>824</v>
      </c>
      <c r="O53" s="395">
        <f t="shared" si="0"/>
        <v>0.40361699999999995</v>
      </c>
    </row>
    <row r="54" spans="1:15">
      <c r="A54" s="12"/>
      <c r="B54" s="25">
        <v>100</v>
      </c>
      <c r="C54" s="25" t="s">
        <v>552</v>
      </c>
      <c r="D54" s="13"/>
      <c r="E54" s="13"/>
      <c r="F54" s="13"/>
      <c r="G54" s="13"/>
      <c r="H54" s="13"/>
      <c r="I54" s="25" t="s">
        <v>8</v>
      </c>
      <c r="J54" s="14"/>
      <c r="K54" s="28" t="s">
        <v>906</v>
      </c>
      <c r="L54" s="30" t="s">
        <v>8</v>
      </c>
      <c r="M54" s="70">
        <v>43</v>
      </c>
      <c r="N54" s="70" t="s">
        <v>825</v>
      </c>
      <c r="O54" s="395">
        <f t="shared" si="0"/>
        <v>1.2816610000000002</v>
      </c>
    </row>
    <row r="55" spans="1:15">
      <c r="A55" s="12"/>
      <c r="B55" s="25">
        <v>1</v>
      </c>
      <c r="C55" s="25" t="s">
        <v>553</v>
      </c>
      <c r="D55" s="13"/>
      <c r="E55" s="13"/>
      <c r="F55" s="13"/>
      <c r="G55" s="13"/>
      <c r="H55" s="13"/>
      <c r="I55" s="25" t="s">
        <v>8</v>
      </c>
      <c r="J55" s="14"/>
      <c r="K55" s="28" t="s">
        <v>907</v>
      </c>
      <c r="L55" s="30" t="s">
        <v>8</v>
      </c>
      <c r="M55" s="70">
        <v>44</v>
      </c>
      <c r="N55" s="70" t="s">
        <v>826</v>
      </c>
      <c r="O55" s="395">
        <f t="shared" si="0"/>
        <v>62.312800000000003</v>
      </c>
    </row>
    <row r="56" spans="1:15">
      <c r="A56" s="12"/>
      <c r="B56" s="25">
        <v>1</v>
      </c>
      <c r="C56" s="25" t="s">
        <v>554</v>
      </c>
      <c r="D56" s="13"/>
      <c r="E56" s="13"/>
      <c r="F56" s="13"/>
      <c r="G56" s="13"/>
      <c r="H56" s="13"/>
      <c r="I56" s="25" t="s">
        <v>8</v>
      </c>
      <c r="J56" s="13"/>
      <c r="K56" s="28" t="s">
        <v>908</v>
      </c>
      <c r="L56" s="30" t="s">
        <v>8</v>
      </c>
      <c r="M56" s="70">
        <v>45</v>
      </c>
      <c r="N56" s="70" t="s">
        <v>827</v>
      </c>
      <c r="O56" s="395">
        <f t="shared" si="0"/>
        <v>2.5349979999999999</v>
      </c>
    </row>
    <row r="57" spans="1:15">
      <c r="A57" s="12"/>
      <c r="B57" s="25">
        <v>1</v>
      </c>
      <c r="C57" s="25" t="s">
        <v>555</v>
      </c>
      <c r="D57" s="13"/>
      <c r="E57" s="13"/>
      <c r="F57" s="13"/>
      <c r="G57" s="13"/>
      <c r="H57" s="13"/>
      <c r="I57" s="25" t="s">
        <v>8</v>
      </c>
      <c r="J57" s="14"/>
      <c r="K57" s="28" t="s">
        <v>909</v>
      </c>
      <c r="L57" s="30" t="s">
        <v>8</v>
      </c>
      <c r="M57" s="70">
        <v>46</v>
      </c>
      <c r="N57" s="70" t="s">
        <v>828</v>
      </c>
      <c r="O57" s="395">
        <f t="shared" si="0"/>
        <v>28.89048</v>
      </c>
    </row>
    <row r="58" spans="1:15">
      <c r="A58" s="12"/>
      <c r="B58" s="25">
        <v>1</v>
      </c>
      <c r="C58" s="25" t="s">
        <v>556</v>
      </c>
      <c r="D58" s="13"/>
      <c r="E58" s="13"/>
      <c r="F58" s="13"/>
      <c r="G58" s="13"/>
      <c r="H58" s="13"/>
      <c r="I58" s="25" t="s">
        <v>8</v>
      </c>
      <c r="J58" s="14"/>
      <c r="K58" s="28" t="s">
        <v>889</v>
      </c>
      <c r="L58" s="30" t="s">
        <v>8</v>
      </c>
      <c r="M58" s="70">
        <v>47</v>
      </c>
      <c r="N58" s="70" t="s">
        <v>829</v>
      </c>
      <c r="O58" s="395">
        <f t="shared" si="0"/>
        <v>105.08204000000001</v>
      </c>
    </row>
    <row r="59" spans="1:15">
      <c r="A59" s="12"/>
      <c r="B59" s="25">
        <v>100</v>
      </c>
      <c r="C59" s="25" t="s">
        <v>557</v>
      </c>
      <c r="D59" s="13"/>
      <c r="E59" s="13"/>
      <c r="F59" s="13"/>
      <c r="G59" s="13"/>
      <c r="H59" s="13"/>
      <c r="I59" s="25" t="s">
        <v>8</v>
      </c>
      <c r="J59" s="14"/>
      <c r="K59" s="28" t="s">
        <v>910</v>
      </c>
      <c r="L59" s="30" t="s">
        <v>8</v>
      </c>
      <c r="M59" s="70">
        <v>48</v>
      </c>
      <c r="N59" s="70" t="s">
        <v>830</v>
      </c>
      <c r="O59" s="395">
        <f t="shared" si="0"/>
        <v>5.8205819999999995E-3</v>
      </c>
    </row>
    <row r="60" spans="1:15">
      <c r="A60" s="12"/>
      <c r="B60" s="25">
        <v>1</v>
      </c>
      <c r="C60" s="25" t="s">
        <v>558</v>
      </c>
      <c r="D60" s="13"/>
      <c r="E60" s="13"/>
      <c r="F60" s="13"/>
      <c r="G60" s="13"/>
      <c r="H60" s="13"/>
      <c r="I60" s="25" t="s">
        <v>8</v>
      </c>
      <c r="J60" s="14"/>
      <c r="K60" s="28" t="s">
        <v>911</v>
      </c>
      <c r="L60" s="30" t="s">
        <v>8</v>
      </c>
      <c r="M60" s="70">
        <v>49</v>
      </c>
      <c r="N60" s="70" t="s">
        <v>831</v>
      </c>
      <c r="O60" s="395">
        <f t="shared" si="0"/>
        <v>4.0078459999999998</v>
      </c>
    </row>
    <row r="61" spans="1:15">
      <c r="A61" s="12"/>
      <c r="B61" s="25">
        <v>1</v>
      </c>
      <c r="C61" s="25" t="s">
        <v>559</v>
      </c>
      <c r="D61" s="13"/>
      <c r="E61" s="13"/>
      <c r="F61" s="13"/>
      <c r="G61" s="13"/>
      <c r="H61" s="13"/>
      <c r="I61" s="25" t="s">
        <v>8</v>
      </c>
      <c r="J61" s="14"/>
      <c r="K61" s="28" t="s">
        <v>852</v>
      </c>
      <c r="L61" s="30" t="s">
        <v>8</v>
      </c>
      <c r="M61" s="70">
        <v>50</v>
      </c>
      <c r="N61" s="70" t="s">
        <v>832</v>
      </c>
      <c r="O61" s="395">
        <f t="shared" si="0"/>
        <v>37.670920000000002</v>
      </c>
    </row>
    <row r="62" spans="1:15">
      <c r="A62" s="12"/>
      <c r="B62" s="25">
        <v>1</v>
      </c>
      <c r="C62" s="25" t="s">
        <v>560</v>
      </c>
      <c r="D62" s="13"/>
      <c r="E62" s="13"/>
      <c r="F62" s="13"/>
      <c r="G62" s="13"/>
      <c r="H62" s="13"/>
      <c r="I62" s="25" t="s">
        <v>8</v>
      </c>
      <c r="J62" s="14"/>
      <c r="K62" s="28" t="s">
        <v>912</v>
      </c>
      <c r="L62" s="30" t="s">
        <v>8</v>
      </c>
      <c r="M62" s="70">
        <v>51</v>
      </c>
      <c r="N62" s="70" t="s">
        <v>833</v>
      </c>
      <c r="O62" s="395">
        <f t="shared" si="0"/>
        <v>34.838520000000003</v>
      </c>
    </row>
    <row r="63" spans="1:15">
      <c r="A63" s="12"/>
      <c r="B63" s="25">
        <v>1</v>
      </c>
      <c r="C63" s="25" t="s">
        <v>561</v>
      </c>
      <c r="D63" s="13"/>
      <c r="E63" s="13"/>
      <c r="F63" s="13"/>
      <c r="G63" s="13"/>
      <c r="H63" s="13"/>
      <c r="I63" s="25" t="s">
        <v>8</v>
      </c>
      <c r="J63" s="14"/>
      <c r="K63" s="28" t="s">
        <v>855</v>
      </c>
      <c r="L63" s="30" t="s">
        <v>8</v>
      </c>
      <c r="M63" s="70">
        <v>52</v>
      </c>
      <c r="N63" s="70" t="s">
        <v>834</v>
      </c>
      <c r="O63" s="395">
        <f t="shared" si="0"/>
        <v>18.127359999999999</v>
      </c>
    </row>
    <row r="64" spans="1:15">
      <c r="A64" s="12"/>
      <c r="B64" s="25">
        <v>1</v>
      </c>
      <c r="C64" s="25" t="s">
        <v>562</v>
      </c>
      <c r="D64" s="13"/>
      <c r="E64" s="13"/>
      <c r="F64" s="13"/>
      <c r="G64" s="13"/>
      <c r="H64" s="13"/>
      <c r="I64" s="25" t="s">
        <v>8</v>
      </c>
      <c r="J64" s="14"/>
      <c r="K64" s="28" t="s">
        <v>913</v>
      </c>
      <c r="L64" s="30" t="s">
        <v>8</v>
      </c>
      <c r="M64" s="70">
        <v>53</v>
      </c>
      <c r="N64" s="70" t="s">
        <v>835</v>
      </c>
      <c r="O64" s="395">
        <f t="shared" si="0"/>
        <v>30.16506</v>
      </c>
    </row>
    <row r="65" spans="1:15">
      <c r="A65" s="12"/>
      <c r="B65" s="25">
        <v>1</v>
      </c>
      <c r="C65" s="25" t="s">
        <v>563</v>
      </c>
      <c r="D65" s="13"/>
      <c r="E65" s="13"/>
      <c r="F65" s="13"/>
      <c r="G65" s="13"/>
      <c r="H65" s="13"/>
      <c r="I65" s="25" t="s">
        <v>8</v>
      </c>
      <c r="J65" s="14"/>
      <c r="K65" s="28" t="s">
        <v>914</v>
      </c>
      <c r="L65" s="30" t="s">
        <v>8</v>
      </c>
      <c r="M65" s="70">
        <v>54</v>
      </c>
      <c r="N65" s="70" t="s">
        <v>836</v>
      </c>
      <c r="O65" s="395">
        <f t="shared" si="0"/>
        <v>7.6333180000000009</v>
      </c>
    </row>
    <row r="66" spans="1:15">
      <c r="A66" s="12"/>
      <c r="B66" s="25">
        <v>1</v>
      </c>
      <c r="C66" s="25" t="s">
        <v>564</v>
      </c>
      <c r="D66" s="13"/>
      <c r="E66" s="13"/>
      <c r="F66" s="13"/>
      <c r="G66" s="13"/>
      <c r="H66" s="13"/>
      <c r="I66" s="25" t="s">
        <v>8</v>
      </c>
      <c r="J66" s="14"/>
      <c r="K66" s="28" t="s">
        <v>856</v>
      </c>
      <c r="L66" s="30" t="s">
        <v>8</v>
      </c>
      <c r="M66" s="70">
        <v>55</v>
      </c>
      <c r="N66" s="70" t="s">
        <v>837</v>
      </c>
      <c r="O66" s="395">
        <f t="shared" si="0"/>
        <v>6.7411120000000005E-2</v>
      </c>
    </row>
    <row r="67" spans="1:15">
      <c r="A67" s="12"/>
      <c r="B67" s="25">
        <v>1</v>
      </c>
      <c r="C67" s="25" t="s">
        <v>565</v>
      </c>
      <c r="D67" s="13"/>
      <c r="E67" s="13"/>
      <c r="F67" s="13"/>
      <c r="G67" s="13"/>
      <c r="H67" s="13"/>
      <c r="I67" s="25" t="s">
        <v>8</v>
      </c>
      <c r="J67" s="14"/>
      <c r="K67" s="28" t="s">
        <v>915</v>
      </c>
      <c r="L67" s="30" t="s">
        <v>8</v>
      </c>
      <c r="M67" s="70">
        <v>56</v>
      </c>
      <c r="N67" s="70" t="s">
        <v>838</v>
      </c>
      <c r="O67" s="395">
        <f t="shared" si="0"/>
        <v>8.1431500000000003</v>
      </c>
    </row>
    <row r="68" spans="1:15">
      <c r="A68" s="12"/>
      <c r="B68" s="25">
        <v>1</v>
      </c>
      <c r="C68" s="25" t="s">
        <v>566</v>
      </c>
      <c r="D68" s="13"/>
      <c r="E68" s="13"/>
      <c r="F68" s="13"/>
      <c r="G68" s="13"/>
      <c r="H68" s="13"/>
      <c r="I68" s="25" t="s">
        <v>8</v>
      </c>
      <c r="J68" s="14"/>
      <c r="K68" s="28" t="s">
        <v>857</v>
      </c>
      <c r="L68" s="30" t="s">
        <v>8</v>
      </c>
      <c r="M68" s="70">
        <v>57</v>
      </c>
      <c r="N68" s="70" t="s">
        <v>839</v>
      </c>
      <c r="O68" s="395">
        <f t="shared" si="0"/>
        <v>3.1864499999999998</v>
      </c>
    </row>
    <row r="69" spans="1:15">
      <c r="A69" s="12"/>
      <c r="B69" s="25">
        <v>1</v>
      </c>
      <c r="C69" s="25" t="s">
        <v>567</v>
      </c>
      <c r="D69" s="13"/>
      <c r="E69" s="13"/>
      <c r="F69" s="13"/>
      <c r="G69" s="13"/>
      <c r="H69" s="13"/>
      <c r="I69" s="25" t="s">
        <v>8</v>
      </c>
      <c r="J69" s="14"/>
      <c r="K69" s="28" t="s">
        <v>916</v>
      </c>
      <c r="L69" s="30" t="s">
        <v>8</v>
      </c>
      <c r="M69" s="70">
        <v>58</v>
      </c>
      <c r="N69" s="70" t="s">
        <v>840</v>
      </c>
      <c r="O69" s="395">
        <f t="shared" si="0"/>
        <v>13.949570000000001</v>
      </c>
    </row>
    <row r="70" spans="1:15">
      <c r="A70" s="12"/>
      <c r="B70" s="25">
        <v>1</v>
      </c>
      <c r="C70" s="25" t="s">
        <v>568</v>
      </c>
      <c r="D70" s="13"/>
      <c r="E70" s="13"/>
      <c r="F70" s="13"/>
      <c r="G70" s="13"/>
      <c r="H70" s="13"/>
      <c r="I70" s="25" t="s">
        <v>8</v>
      </c>
      <c r="J70" s="14"/>
      <c r="K70" s="28" t="s">
        <v>858</v>
      </c>
      <c r="L70" s="30" t="s">
        <v>8</v>
      </c>
      <c r="M70" s="70">
        <v>59</v>
      </c>
      <c r="N70" s="70" t="s">
        <v>841</v>
      </c>
      <c r="O70" s="395">
        <f t="shared" si="0"/>
        <v>199.6842</v>
      </c>
    </row>
    <row r="71" spans="1:15">
      <c r="A71" s="12"/>
      <c r="B71" s="25">
        <v>100</v>
      </c>
      <c r="C71" s="25" t="s">
        <v>569</v>
      </c>
      <c r="D71" s="13"/>
      <c r="E71" s="13"/>
      <c r="F71" s="13"/>
      <c r="G71" s="13"/>
      <c r="H71" s="13"/>
      <c r="I71" s="25" t="s">
        <v>8</v>
      </c>
      <c r="J71" s="14"/>
      <c r="K71" s="28" t="s">
        <v>917</v>
      </c>
      <c r="L71" s="30" t="s">
        <v>8</v>
      </c>
      <c r="M71" s="70">
        <v>60</v>
      </c>
      <c r="N71" s="70" t="s">
        <v>842</v>
      </c>
      <c r="O71" s="395">
        <f t="shared" si="0"/>
        <v>6.8402460000000003E-3</v>
      </c>
    </row>
    <row r="72" spans="1:15">
      <c r="A72" s="12"/>
      <c r="B72" s="25">
        <v>1</v>
      </c>
      <c r="C72" s="25" t="s">
        <v>570</v>
      </c>
      <c r="D72" s="13"/>
      <c r="E72" s="13"/>
      <c r="F72" s="13"/>
      <c r="G72" s="13"/>
      <c r="H72" s="13"/>
      <c r="I72" s="25" t="s">
        <v>8</v>
      </c>
      <c r="J72" s="14"/>
      <c r="K72" s="28" t="s">
        <v>918</v>
      </c>
      <c r="L72" s="30" t="s">
        <v>8</v>
      </c>
      <c r="M72" s="70">
        <v>61</v>
      </c>
      <c r="N72" s="70" t="s">
        <v>843</v>
      </c>
      <c r="O72" s="395">
        <f t="shared" si="0"/>
        <v>30.873160000000002</v>
      </c>
    </row>
    <row r="73" spans="1:15">
      <c r="A73" s="12"/>
      <c r="B73" s="25">
        <v>100</v>
      </c>
      <c r="C73" s="25" t="s">
        <v>571</v>
      </c>
      <c r="D73" s="13"/>
      <c r="E73" s="13"/>
      <c r="F73" s="19"/>
      <c r="G73" s="13"/>
      <c r="H73" s="14"/>
      <c r="I73" s="25" t="s">
        <v>8</v>
      </c>
      <c r="J73" s="13"/>
      <c r="K73" s="28" t="s">
        <v>919</v>
      </c>
      <c r="L73" s="30" t="s">
        <v>8</v>
      </c>
      <c r="M73" s="70">
        <v>62</v>
      </c>
      <c r="N73" s="70" t="s">
        <v>844</v>
      </c>
      <c r="O73" s="395">
        <f t="shared" si="0"/>
        <v>0.11457058000000001</v>
      </c>
    </row>
    <row r="74" spans="1:15">
      <c r="A74" s="12"/>
      <c r="B74" s="25">
        <v>1</v>
      </c>
      <c r="C74" s="25" t="s">
        <v>572</v>
      </c>
      <c r="D74" s="13"/>
      <c r="E74" s="13"/>
      <c r="F74" s="13"/>
      <c r="G74" s="14"/>
      <c r="H74" s="13"/>
      <c r="I74" s="25" t="s">
        <v>8</v>
      </c>
      <c r="J74" s="13"/>
      <c r="K74" s="28" t="s">
        <v>920</v>
      </c>
      <c r="L74" s="30" t="s">
        <v>8</v>
      </c>
      <c r="M74" s="70">
        <v>63</v>
      </c>
      <c r="N74" s="70" t="s">
        <v>845</v>
      </c>
      <c r="O74" s="395">
        <f t="shared" si="0"/>
        <v>1.5719820000000002</v>
      </c>
    </row>
    <row r="75" spans="1:15">
      <c r="A75" s="12"/>
      <c r="B75" s="14"/>
      <c r="C75" s="14"/>
      <c r="D75" s="14"/>
      <c r="E75" s="14"/>
      <c r="F75" s="33"/>
      <c r="G75" s="34"/>
      <c r="H75" s="19"/>
      <c r="I75" s="33"/>
      <c r="J75" s="13"/>
      <c r="K75" s="35"/>
      <c r="L75" s="36"/>
      <c r="M75" s="4"/>
      <c r="N75" s="1"/>
    </row>
    <row r="76" spans="1:15">
      <c r="A76" s="12"/>
      <c r="B76" s="13" t="s">
        <v>573</v>
      </c>
      <c r="C76" s="14"/>
      <c r="D76" s="13"/>
      <c r="E76" s="13"/>
      <c r="F76" s="37" t="s">
        <v>12</v>
      </c>
      <c r="G76" s="38"/>
      <c r="H76" s="14"/>
      <c r="I76" s="13"/>
      <c r="J76" s="14"/>
      <c r="K76" s="13"/>
      <c r="L76" s="18"/>
      <c r="M76" s="2"/>
      <c r="N76" s="1"/>
    </row>
    <row r="77" spans="1:15">
      <c r="A77" s="39"/>
      <c r="B77" s="40"/>
      <c r="C77" s="41"/>
      <c r="D77" s="42"/>
      <c r="E77" s="42"/>
      <c r="F77" s="43" t="s">
        <v>921</v>
      </c>
      <c r="G77" s="44"/>
      <c r="H77" s="45"/>
      <c r="I77" s="42"/>
      <c r="J77" s="45"/>
      <c r="K77" s="42"/>
      <c r="L77" s="46"/>
      <c r="M77" s="2"/>
      <c r="N77" s="1"/>
    </row>
    <row r="78" spans="1:15" s="6" customFormat="1" ht="13.5">
      <c r="A78" s="5"/>
      <c r="B78" s="5"/>
      <c r="C78" s="5" t="s">
        <v>13</v>
      </c>
      <c r="D78" s="5"/>
      <c r="E78" s="5"/>
      <c r="F78" s="5"/>
      <c r="G78" s="5"/>
      <c r="H78" s="5"/>
      <c r="I78" s="5"/>
      <c r="J78" s="5"/>
      <c r="K78" s="5"/>
      <c r="L78" s="5"/>
      <c r="M78" s="5"/>
      <c r="N78" s="5"/>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C51" sqref="C51"/>
    </sheetView>
  </sheetViews>
  <sheetFormatPr defaultColWidth="9" defaultRowHeight="14.2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c r="A1" s="3" t="s">
        <v>847</v>
      </c>
      <c r="E1" s="3" t="s">
        <v>946</v>
      </c>
    </row>
    <row r="3" spans="1:22" ht="17.25">
      <c r="A3" s="7" t="s">
        <v>947</v>
      </c>
      <c r="B3" s="8"/>
      <c r="C3" s="8"/>
      <c r="D3" s="8"/>
      <c r="E3" s="8"/>
      <c r="F3" s="8"/>
      <c r="G3" s="8"/>
      <c r="H3" s="8"/>
      <c r="I3" s="8"/>
      <c r="J3" s="9"/>
      <c r="K3" s="10">
        <v>45646</v>
      </c>
      <c r="L3" s="11"/>
      <c r="M3" s="1"/>
      <c r="N3" s="1"/>
    </row>
    <row r="4" spans="1:22">
      <c r="A4" s="12"/>
      <c r="B4" s="13"/>
      <c r="C4" s="13"/>
      <c r="D4" s="13"/>
      <c r="E4" s="13"/>
      <c r="F4" s="13"/>
      <c r="G4" s="13"/>
      <c r="H4" s="13"/>
      <c r="I4" s="13"/>
      <c r="J4" s="14"/>
      <c r="K4" s="15" t="s">
        <v>948</v>
      </c>
      <c r="L4" s="16"/>
      <c r="M4" s="1"/>
      <c r="N4" s="1"/>
    </row>
    <row r="5" spans="1:22">
      <c r="A5" s="12"/>
      <c r="B5" s="13"/>
      <c r="C5" s="13"/>
      <c r="D5" s="13"/>
      <c r="E5" s="13"/>
      <c r="F5" s="13"/>
      <c r="G5" s="13"/>
      <c r="H5" s="13"/>
      <c r="I5" s="13"/>
      <c r="J5" s="14"/>
      <c r="K5" s="14"/>
      <c r="L5" s="17"/>
      <c r="M5" s="1"/>
      <c r="N5" s="1"/>
    </row>
    <row r="6" spans="1:22">
      <c r="A6" s="12"/>
      <c r="B6" s="13" t="s">
        <v>9</v>
      </c>
      <c r="C6" s="14"/>
      <c r="D6" s="13"/>
      <c r="E6" s="13"/>
      <c r="F6" s="13"/>
      <c r="G6" s="13"/>
      <c r="H6" s="13"/>
      <c r="I6" s="13"/>
      <c r="J6" s="13"/>
      <c r="K6" s="13"/>
      <c r="L6" s="18"/>
      <c r="M6" s="2"/>
      <c r="N6" s="1"/>
    </row>
    <row r="7" spans="1:22">
      <c r="A7" s="12"/>
      <c r="B7" s="13" t="s">
        <v>949</v>
      </c>
      <c r="C7" s="14"/>
      <c r="D7" s="13"/>
      <c r="E7" s="13"/>
      <c r="F7" s="13"/>
      <c r="G7" s="13"/>
      <c r="H7" s="13"/>
      <c r="I7" s="13"/>
      <c r="J7" s="13"/>
      <c r="K7" s="13"/>
      <c r="L7" s="18"/>
      <c r="M7" s="2"/>
      <c r="N7" s="1"/>
    </row>
    <row r="8" spans="1:22">
      <c r="A8" s="12"/>
      <c r="B8" s="13" t="s">
        <v>10</v>
      </c>
      <c r="C8" s="14"/>
      <c r="D8" s="13"/>
      <c r="E8" s="13"/>
      <c r="F8" s="13"/>
      <c r="G8" s="13"/>
      <c r="H8" s="13"/>
      <c r="I8" s="13"/>
      <c r="J8" s="13"/>
      <c r="K8" s="13"/>
      <c r="L8" s="17"/>
      <c r="M8" s="2"/>
      <c r="N8" s="1"/>
    </row>
    <row r="9" spans="1:22">
      <c r="A9" s="12"/>
      <c r="B9" s="13"/>
      <c r="C9" s="19"/>
      <c r="D9" s="19"/>
      <c r="E9" s="14"/>
      <c r="F9" s="20"/>
      <c r="G9" s="14"/>
      <c r="H9" s="13"/>
      <c r="I9" s="14"/>
      <c r="J9" s="13"/>
      <c r="K9" s="13"/>
      <c r="L9" s="17"/>
      <c r="M9" s="2"/>
      <c r="N9" s="1"/>
    </row>
    <row r="10" spans="1:22">
      <c r="A10" s="12"/>
      <c r="B10" s="21" t="s">
        <v>950</v>
      </c>
      <c r="C10" s="14"/>
      <c r="D10" s="14"/>
      <c r="E10" s="14"/>
      <c r="F10" s="20"/>
      <c r="G10" s="14"/>
      <c r="H10" s="13"/>
      <c r="I10" s="14"/>
      <c r="J10" s="13"/>
      <c r="K10" s="13"/>
      <c r="L10" s="17"/>
      <c r="M10" s="2"/>
      <c r="N10" s="1"/>
    </row>
    <row r="11" spans="1:22">
      <c r="A11" s="12"/>
      <c r="B11" s="13"/>
      <c r="C11" s="13"/>
      <c r="D11" s="13"/>
      <c r="E11" s="13"/>
      <c r="F11" s="13"/>
      <c r="G11" s="13"/>
      <c r="H11" s="13"/>
      <c r="I11" s="13"/>
      <c r="J11" s="13"/>
      <c r="K11" s="13"/>
      <c r="L11" s="17"/>
      <c r="M11" s="362" t="s">
        <v>47</v>
      </c>
      <c r="N11" s="70" t="s">
        <v>14</v>
      </c>
      <c r="O11" s="71" t="s">
        <v>15</v>
      </c>
    </row>
    <row r="12" spans="1:22">
      <c r="A12" s="12"/>
      <c r="B12" s="14"/>
      <c r="C12" s="14"/>
      <c r="D12" s="14"/>
      <c r="E12" s="14"/>
      <c r="F12" s="14"/>
      <c r="G12" s="14"/>
      <c r="H12" s="14"/>
      <c r="I12" s="14"/>
      <c r="J12" s="14"/>
      <c r="K12" s="19"/>
      <c r="L12" s="22" t="s">
        <v>11</v>
      </c>
      <c r="M12" s="362">
        <v>1</v>
      </c>
      <c r="N12" s="71" t="s">
        <v>49</v>
      </c>
      <c r="O12" s="71">
        <v>1</v>
      </c>
    </row>
    <row r="13" spans="1:22">
      <c r="A13" s="12"/>
      <c r="B13" s="14">
        <v>157.83000000000001</v>
      </c>
      <c r="C13" s="23" t="s">
        <v>951</v>
      </c>
      <c r="D13" s="24">
        <f>B13</f>
        <v>157.83000000000001</v>
      </c>
      <c r="E13" s="14" t="s">
        <v>952</v>
      </c>
      <c r="F13" s="14"/>
      <c r="G13" s="14"/>
      <c r="H13" s="14"/>
      <c r="I13" s="25" t="s">
        <v>6</v>
      </c>
      <c r="J13" s="14"/>
      <c r="K13" s="26">
        <v>1</v>
      </c>
      <c r="L13" s="27" t="s">
        <v>7</v>
      </c>
      <c r="M13" s="362">
        <v>2</v>
      </c>
      <c r="N13" s="70" t="str">
        <f>L13&amp;" (USD)"</f>
        <v>米ドル (USD)</v>
      </c>
      <c r="O13" s="71">
        <f>B13</f>
        <v>157.83000000000001</v>
      </c>
    </row>
    <row r="14" spans="1:22">
      <c r="A14" s="12"/>
      <c r="B14" s="25">
        <v>1</v>
      </c>
      <c r="C14" s="25" t="s">
        <v>953</v>
      </c>
      <c r="D14" s="13"/>
      <c r="E14" s="13"/>
      <c r="F14" s="13"/>
      <c r="G14" s="13"/>
      <c r="H14" s="13"/>
      <c r="I14" s="25" t="s">
        <v>6</v>
      </c>
      <c r="J14" s="14"/>
      <c r="K14" s="28" t="s">
        <v>954</v>
      </c>
      <c r="L14" s="29" t="s">
        <v>7</v>
      </c>
      <c r="M14" s="362">
        <v>3</v>
      </c>
      <c r="N14" s="70" t="str">
        <f>SUBSTITUTE(C14,TEXT(B14,"g/標準")&amp;" ","")</f>
        <v>カナダ・ドル (CAD)</v>
      </c>
      <c r="O14" s="72">
        <f>VALUE($K14)/$B14*$B$13</f>
        <v>113.00628</v>
      </c>
      <c r="Q14" s="48"/>
      <c r="R14" s="47"/>
      <c r="S14" s="47"/>
      <c r="T14" s="47"/>
      <c r="V14" s="47">
        <f>VALUE($K14)/$B14*$B$13</f>
        <v>113.00628</v>
      </c>
    </row>
    <row r="15" spans="1:22">
      <c r="A15" s="12"/>
      <c r="B15" s="25">
        <v>1</v>
      </c>
      <c r="C15" s="25" t="s">
        <v>955</v>
      </c>
      <c r="D15" s="13"/>
      <c r="E15" s="13"/>
      <c r="F15" s="13"/>
      <c r="G15" s="13"/>
      <c r="H15" s="13"/>
      <c r="I15" s="25" t="s">
        <v>8</v>
      </c>
      <c r="J15" s="14"/>
      <c r="K15" s="28" t="s">
        <v>956</v>
      </c>
      <c r="L15" s="30" t="s">
        <v>8</v>
      </c>
      <c r="M15" s="362">
        <v>4</v>
      </c>
      <c r="N15" s="70" t="str">
        <f t="shared" ref="N15:N74" si="0">SUBSTITUTE(C15,TEXT(B15,"g/標準")&amp;" ","")</f>
        <v>中国元 (CNY)</v>
      </c>
      <c r="O15" s="72">
        <f t="shared" ref="O15:O74" si="1">VALUE($K15)/$B15*$B$13</f>
        <v>21.938370000000003</v>
      </c>
    </row>
    <row r="16" spans="1:22">
      <c r="A16" s="12"/>
      <c r="B16" s="25">
        <v>1</v>
      </c>
      <c r="C16" s="25" t="s">
        <v>957</v>
      </c>
      <c r="D16" s="13"/>
      <c r="E16" s="13"/>
      <c r="F16" s="13"/>
      <c r="G16" s="13"/>
      <c r="H16" s="13"/>
      <c r="I16" s="25" t="s">
        <v>8</v>
      </c>
      <c r="J16" s="14"/>
      <c r="K16" s="28" t="s">
        <v>901</v>
      </c>
      <c r="L16" s="30" t="s">
        <v>8</v>
      </c>
      <c r="M16" s="362">
        <v>5</v>
      </c>
      <c r="N16" s="70" t="str">
        <f t="shared" si="0"/>
        <v>スウェーデン・クローネ (SEK)</v>
      </c>
      <c r="O16" s="72">
        <f t="shared" si="1"/>
        <v>14.473011000000001</v>
      </c>
    </row>
    <row r="17" spans="1:15">
      <c r="A17" s="12"/>
      <c r="B17" s="25">
        <v>1</v>
      </c>
      <c r="C17" s="25" t="s">
        <v>958</v>
      </c>
      <c r="D17" s="13"/>
      <c r="E17" s="13"/>
      <c r="F17" s="13"/>
      <c r="G17" s="13"/>
      <c r="H17" s="13"/>
      <c r="I17" s="25" t="s">
        <v>8</v>
      </c>
      <c r="J17" s="14"/>
      <c r="K17" s="28" t="s">
        <v>959</v>
      </c>
      <c r="L17" s="30" t="s">
        <v>8</v>
      </c>
      <c r="M17" s="362">
        <v>6</v>
      </c>
      <c r="N17" s="70" t="str">
        <f t="shared" si="0"/>
        <v>スイス・フラン (CHF)</v>
      </c>
      <c r="O17" s="72">
        <f t="shared" si="1"/>
        <v>179.92619999999999</v>
      </c>
    </row>
    <row r="18" spans="1:15" ht="15.75" customHeight="1">
      <c r="A18" s="12"/>
      <c r="B18" s="25">
        <v>1</v>
      </c>
      <c r="C18" s="25" t="s">
        <v>960</v>
      </c>
      <c r="D18" s="13"/>
      <c r="E18" s="13"/>
      <c r="F18" s="13"/>
      <c r="G18" s="13"/>
      <c r="H18" s="13"/>
      <c r="I18" s="25" t="s">
        <v>8</v>
      </c>
      <c r="J18" s="14"/>
      <c r="K18" s="28" t="s">
        <v>961</v>
      </c>
      <c r="L18" s="30" t="s">
        <v>8</v>
      </c>
      <c r="M18" s="362">
        <v>7</v>
      </c>
      <c r="N18" s="70" t="str">
        <f t="shared" si="0"/>
        <v>スターリング・ポンド (GBP)</v>
      </c>
      <c r="O18" s="72">
        <f t="shared" si="1"/>
        <v>200.44410000000002</v>
      </c>
    </row>
    <row r="19" spans="1:15" ht="15.75" customHeight="1">
      <c r="A19" s="12"/>
      <c r="B19" s="25">
        <v>1</v>
      </c>
      <c r="C19" s="25" t="s">
        <v>962</v>
      </c>
      <c r="D19" s="13"/>
      <c r="E19" s="13"/>
      <c r="F19" s="13"/>
      <c r="G19" s="13"/>
      <c r="H19" s="13"/>
      <c r="I19" s="25" t="s">
        <v>8</v>
      </c>
      <c r="J19" s="14"/>
      <c r="K19" s="28" t="s">
        <v>963</v>
      </c>
      <c r="L19" s="30" t="s">
        <v>8</v>
      </c>
      <c r="M19" s="362">
        <v>8</v>
      </c>
      <c r="N19" s="70" t="str">
        <f t="shared" si="0"/>
        <v>ユーロ (EUR)</v>
      </c>
      <c r="O19" s="72">
        <f t="shared" si="1"/>
        <v>167.29980000000003</v>
      </c>
    </row>
    <row r="20" spans="1:15">
      <c r="A20" s="12"/>
      <c r="B20" s="25">
        <v>1</v>
      </c>
      <c r="C20" s="25" t="s">
        <v>964</v>
      </c>
      <c r="D20" s="13"/>
      <c r="E20" s="13"/>
      <c r="F20" s="13"/>
      <c r="G20" s="13"/>
      <c r="H20" s="13"/>
      <c r="I20" s="25" t="s">
        <v>8</v>
      </c>
      <c r="J20" s="14"/>
      <c r="K20" s="28" t="s">
        <v>850</v>
      </c>
      <c r="L20" s="30" t="s">
        <v>8</v>
      </c>
      <c r="M20" s="362">
        <v>9</v>
      </c>
      <c r="N20" s="70" t="str">
        <f t="shared" si="0"/>
        <v>アラブ首長国連邦ディルハム (AED)</v>
      </c>
      <c r="O20" s="72">
        <f t="shared" si="1"/>
        <v>42.929760000000009</v>
      </c>
    </row>
    <row r="21" spans="1:15">
      <c r="A21" s="12"/>
      <c r="B21" s="25">
        <v>1</v>
      </c>
      <c r="C21" s="25" t="s">
        <v>965</v>
      </c>
      <c r="D21" s="13"/>
      <c r="E21" s="13"/>
      <c r="F21" s="13"/>
      <c r="G21" s="13"/>
      <c r="H21" s="13"/>
      <c r="I21" s="25" t="s">
        <v>8</v>
      </c>
      <c r="J21" s="14"/>
      <c r="K21" s="28" t="s">
        <v>966</v>
      </c>
      <c r="L21" s="30" t="s">
        <v>8</v>
      </c>
      <c r="M21" s="362">
        <v>10</v>
      </c>
      <c r="N21" s="70" t="str">
        <f t="shared" si="0"/>
        <v>アルゼンチン・ペソ (ARS)</v>
      </c>
      <c r="O21" s="72">
        <f t="shared" si="1"/>
        <v>0.15783000000000003</v>
      </c>
    </row>
    <row r="22" spans="1:15">
      <c r="A22" s="12"/>
      <c r="B22" s="25">
        <v>1</v>
      </c>
      <c r="C22" s="25" t="s">
        <v>967</v>
      </c>
      <c r="D22" s="13"/>
      <c r="E22" s="13"/>
      <c r="F22" s="13"/>
      <c r="G22" s="13"/>
      <c r="H22" s="13"/>
      <c r="I22" s="25" t="s">
        <v>8</v>
      </c>
      <c r="J22" s="14"/>
      <c r="K22" s="28" t="s">
        <v>904</v>
      </c>
      <c r="L22" s="30" t="s">
        <v>8</v>
      </c>
      <c r="M22" s="362">
        <v>11</v>
      </c>
      <c r="N22" s="70" t="str">
        <f t="shared" si="0"/>
        <v>イスラエル・シェケル (ILS)</v>
      </c>
      <c r="O22" s="72">
        <f t="shared" si="1"/>
        <v>42.456270000000004</v>
      </c>
    </row>
    <row r="23" spans="1:15">
      <c r="A23" s="12"/>
      <c r="B23" s="25">
        <v>1</v>
      </c>
      <c r="C23" s="25" t="s">
        <v>968</v>
      </c>
      <c r="D23" s="13"/>
      <c r="E23" s="13"/>
      <c r="F23" s="31"/>
      <c r="G23" s="13"/>
      <c r="H23" s="13"/>
      <c r="I23" s="25" t="s">
        <v>8</v>
      </c>
      <c r="J23" s="14"/>
      <c r="K23" s="28" t="s">
        <v>879</v>
      </c>
      <c r="L23" s="30" t="s">
        <v>8</v>
      </c>
      <c r="M23" s="362">
        <v>12</v>
      </c>
      <c r="N23" s="70" t="str">
        <f t="shared" si="0"/>
        <v xml:space="preserve">イラン・リアル (IRR) </v>
      </c>
      <c r="O23" s="72">
        <f t="shared" si="1"/>
        <v>3.6300900000000002E-4</v>
      </c>
    </row>
    <row r="24" spans="1:15">
      <c r="A24" s="12"/>
      <c r="B24" s="25">
        <v>1</v>
      </c>
      <c r="C24" s="25" t="s">
        <v>969</v>
      </c>
      <c r="D24" s="13"/>
      <c r="E24" s="13"/>
      <c r="F24" s="13"/>
      <c r="G24" s="13"/>
      <c r="H24" s="13"/>
      <c r="I24" s="25" t="s">
        <v>8</v>
      </c>
      <c r="J24" s="14"/>
      <c r="K24" s="28" t="s">
        <v>970</v>
      </c>
      <c r="L24" s="30" t="s">
        <v>8</v>
      </c>
      <c r="M24" s="362">
        <v>13</v>
      </c>
      <c r="N24" s="70" t="str">
        <f t="shared" si="0"/>
        <v>インド・ルピー (INR)</v>
      </c>
      <c r="O24" s="72">
        <f t="shared" si="1"/>
        <v>1.8781770000000002</v>
      </c>
    </row>
    <row r="25" spans="1:15">
      <c r="A25" s="12"/>
      <c r="B25" s="25">
        <v>100</v>
      </c>
      <c r="C25" s="25" t="s">
        <v>971</v>
      </c>
      <c r="D25" s="13"/>
      <c r="E25" s="13"/>
      <c r="F25" s="13"/>
      <c r="G25" s="13"/>
      <c r="H25" s="13"/>
      <c r="I25" s="25" t="s">
        <v>8</v>
      </c>
      <c r="J25" s="14"/>
      <c r="K25" s="28" t="s">
        <v>972</v>
      </c>
      <c r="L25" s="30" t="s">
        <v>8</v>
      </c>
      <c r="M25" s="362">
        <v>14</v>
      </c>
      <c r="N25" s="70" t="str">
        <f t="shared" si="0"/>
        <v>インドネシア・ルピア (IDR)</v>
      </c>
      <c r="O25" s="72">
        <f t="shared" si="1"/>
        <v>9.9748560000000007E-3</v>
      </c>
    </row>
    <row r="26" spans="1:15">
      <c r="A26" s="12"/>
      <c r="B26" s="25">
        <v>1</v>
      </c>
      <c r="C26" s="25" t="s">
        <v>973</v>
      </c>
      <c r="D26" s="13"/>
      <c r="E26" s="13"/>
      <c r="F26" s="13"/>
      <c r="G26" s="13"/>
      <c r="H26" s="13"/>
      <c r="I26" s="25" t="s">
        <v>8</v>
      </c>
      <c r="J26" s="14"/>
      <c r="K26" s="28" t="s">
        <v>974</v>
      </c>
      <c r="L26" s="30" t="s">
        <v>8</v>
      </c>
      <c r="M26" s="362">
        <v>15</v>
      </c>
      <c r="N26" s="70" t="str">
        <f t="shared" si="0"/>
        <v>オーストラリア・ドル (AUD)</v>
      </c>
      <c r="O26" s="72">
        <f t="shared" si="1"/>
        <v>103.06299000000001</v>
      </c>
    </row>
    <row r="27" spans="1:15">
      <c r="A27" s="12"/>
      <c r="B27" s="25">
        <v>1</v>
      </c>
      <c r="C27" s="25" t="s">
        <v>975</v>
      </c>
      <c r="D27" s="13"/>
      <c r="E27" s="13"/>
      <c r="F27" s="13"/>
      <c r="G27" s="32"/>
      <c r="H27" s="13"/>
      <c r="I27" s="25" t="s">
        <v>8</v>
      </c>
      <c r="J27" s="14"/>
      <c r="K27" s="28" t="s">
        <v>525</v>
      </c>
      <c r="L27" s="30" t="s">
        <v>8</v>
      </c>
      <c r="M27" s="362">
        <v>16</v>
      </c>
      <c r="N27" s="70" t="str">
        <f t="shared" si="0"/>
        <v>オマーン・リアル (OMR)</v>
      </c>
      <c r="O27" s="72">
        <f t="shared" si="1"/>
        <v>410.35800000000006</v>
      </c>
    </row>
    <row r="28" spans="1:15">
      <c r="A28" s="12"/>
      <c r="B28" s="25">
        <v>1</v>
      </c>
      <c r="C28" s="25" t="s">
        <v>976</v>
      </c>
      <c r="D28" s="13"/>
      <c r="E28" s="13"/>
      <c r="F28" s="13"/>
      <c r="G28" s="13"/>
      <c r="H28" s="13"/>
      <c r="I28" s="25" t="s">
        <v>8</v>
      </c>
      <c r="J28" s="14"/>
      <c r="K28" s="28" t="s">
        <v>883</v>
      </c>
      <c r="L28" s="30" t="s">
        <v>8</v>
      </c>
      <c r="M28" s="362">
        <v>17</v>
      </c>
      <c r="N28" s="70" t="str">
        <f t="shared" si="0"/>
        <v>カタール・リアル (QAR)</v>
      </c>
      <c r="O28" s="72">
        <f t="shared" si="1"/>
        <v>43.24542000000001</v>
      </c>
    </row>
    <row r="29" spans="1:15">
      <c r="A29" s="12"/>
      <c r="B29" s="25">
        <v>100</v>
      </c>
      <c r="C29" s="25" t="s">
        <v>977</v>
      </c>
      <c r="D29" s="13"/>
      <c r="E29" s="13"/>
      <c r="F29" s="13"/>
      <c r="G29" s="13"/>
      <c r="H29" s="13"/>
      <c r="I29" s="25" t="s">
        <v>8</v>
      </c>
      <c r="J29" s="14"/>
      <c r="K29" s="28" t="s">
        <v>978</v>
      </c>
      <c r="L29" s="30" t="s">
        <v>8</v>
      </c>
      <c r="M29" s="362">
        <v>18</v>
      </c>
      <c r="N29" s="70" t="str">
        <f t="shared" si="0"/>
        <v>韓国ウォン (KRW)</v>
      </c>
      <c r="O29" s="72">
        <f t="shared" si="1"/>
        <v>0.11316411</v>
      </c>
    </row>
    <row r="30" spans="1:15">
      <c r="A30" s="12"/>
      <c r="B30" s="25">
        <v>100</v>
      </c>
      <c r="C30" s="25" t="s">
        <v>979</v>
      </c>
      <c r="D30" s="13"/>
      <c r="E30" s="13"/>
      <c r="F30" s="13"/>
      <c r="G30" s="13"/>
      <c r="H30" s="13"/>
      <c r="I30" s="25" t="s">
        <v>8</v>
      </c>
      <c r="J30" s="14"/>
      <c r="K30" s="28" t="s">
        <v>980</v>
      </c>
      <c r="L30" s="30" t="s">
        <v>8</v>
      </c>
      <c r="M30" s="362">
        <v>19</v>
      </c>
      <c r="N30" s="70" t="str">
        <f t="shared" si="0"/>
        <v>カンボジア・リエル (KHR)</v>
      </c>
      <c r="O30" s="72">
        <f t="shared" si="1"/>
        <v>3.8984009999999999E-2</v>
      </c>
    </row>
    <row r="31" spans="1:15">
      <c r="A31" s="12"/>
      <c r="B31" s="25">
        <v>1</v>
      </c>
      <c r="C31" s="25" t="s">
        <v>981</v>
      </c>
      <c r="D31" s="13"/>
      <c r="E31" s="13"/>
      <c r="F31" s="13"/>
      <c r="G31" s="13"/>
      <c r="H31" s="13"/>
      <c r="I31" s="25" t="s">
        <v>8</v>
      </c>
      <c r="J31" s="14"/>
      <c r="K31" s="28" t="s">
        <v>982</v>
      </c>
      <c r="L31" s="30" t="s">
        <v>8</v>
      </c>
      <c r="M31" s="362">
        <v>20</v>
      </c>
      <c r="N31" s="70" t="str">
        <f t="shared" si="0"/>
        <v>クウェート・ディナール (KWD)</v>
      </c>
      <c r="O31" s="72">
        <f t="shared" si="1"/>
        <v>512.94749999999999</v>
      </c>
    </row>
    <row r="32" spans="1:15">
      <c r="A32" s="12"/>
      <c r="B32" s="25">
        <v>1</v>
      </c>
      <c r="C32" s="25" t="s">
        <v>983</v>
      </c>
      <c r="D32" s="13"/>
      <c r="E32" s="13"/>
      <c r="F32" s="13"/>
      <c r="G32" s="13"/>
      <c r="H32" s="13"/>
      <c r="I32" s="25" t="s">
        <v>8</v>
      </c>
      <c r="J32" s="14"/>
      <c r="K32" s="28" t="s">
        <v>984</v>
      </c>
      <c r="L32" s="30" t="s">
        <v>8</v>
      </c>
      <c r="M32" s="362">
        <v>21</v>
      </c>
      <c r="N32" s="70" t="str">
        <f t="shared" si="0"/>
        <v>ケニア・シリング (KES)</v>
      </c>
      <c r="O32" s="72">
        <f t="shared" si="1"/>
        <v>1.2216042000000003</v>
      </c>
    </row>
    <row r="33" spans="1:15">
      <c r="A33" s="12"/>
      <c r="B33" s="25">
        <v>100</v>
      </c>
      <c r="C33" s="25" t="s">
        <v>985</v>
      </c>
      <c r="D33" s="13"/>
      <c r="E33" s="13"/>
      <c r="F33" s="13"/>
      <c r="G33" s="13"/>
      <c r="H33" s="13"/>
      <c r="I33" s="25" t="s">
        <v>8</v>
      </c>
      <c r="J33" s="14"/>
      <c r="K33" s="28" t="s">
        <v>986</v>
      </c>
      <c r="L33" s="30" t="s">
        <v>8</v>
      </c>
      <c r="M33" s="362">
        <v>22</v>
      </c>
      <c r="N33" s="70" t="str">
        <f t="shared" si="0"/>
        <v>コロンビア・ペソ (COP)</v>
      </c>
      <c r="O33" s="72">
        <f t="shared" si="1"/>
        <v>3.5827410000000004E-2</v>
      </c>
    </row>
    <row r="34" spans="1:15">
      <c r="A34" s="12"/>
      <c r="B34" s="25">
        <v>1</v>
      </c>
      <c r="C34" s="25" t="s">
        <v>987</v>
      </c>
      <c r="D34" s="13"/>
      <c r="E34" s="13"/>
      <c r="F34" s="13"/>
      <c r="G34" s="13"/>
      <c r="H34" s="13"/>
      <c r="I34" s="25" t="s">
        <v>8</v>
      </c>
      <c r="J34" s="14"/>
      <c r="K34" s="28" t="s">
        <v>852</v>
      </c>
      <c r="L34" s="30" t="s">
        <v>8</v>
      </c>
      <c r="M34" s="362">
        <v>23</v>
      </c>
      <c r="N34" s="70" t="str">
        <f t="shared" si="0"/>
        <v>サウジアラビア・リアル (SAR)</v>
      </c>
      <c r="O34" s="72">
        <f t="shared" si="1"/>
        <v>41.982780000000005</v>
      </c>
    </row>
    <row r="35" spans="1:15">
      <c r="A35" s="12"/>
      <c r="B35" s="25">
        <v>1</v>
      </c>
      <c r="C35" s="25" t="s">
        <v>988</v>
      </c>
      <c r="D35" s="13"/>
      <c r="E35" s="13"/>
      <c r="F35" s="13"/>
      <c r="G35" s="13"/>
      <c r="H35" s="13"/>
      <c r="I35" s="25" t="s">
        <v>8</v>
      </c>
      <c r="J35" s="14"/>
      <c r="K35" s="28" t="s">
        <v>989</v>
      </c>
      <c r="L35" s="30" t="s">
        <v>8</v>
      </c>
      <c r="M35" s="362">
        <v>24</v>
      </c>
      <c r="N35" s="70" t="str">
        <f t="shared" si="0"/>
        <v>シンガポール・ドル(SGD)</v>
      </c>
      <c r="O35" s="72">
        <f t="shared" si="1"/>
        <v>118.05684000000001</v>
      </c>
    </row>
    <row r="36" spans="1:15">
      <c r="A36" s="12"/>
      <c r="B36" s="25">
        <v>100</v>
      </c>
      <c r="C36" s="25" t="s">
        <v>990</v>
      </c>
      <c r="D36" s="13"/>
      <c r="E36" s="13"/>
      <c r="F36" s="13"/>
      <c r="G36" s="13"/>
      <c r="H36" s="13"/>
      <c r="I36" s="25" t="s">
        <v>8</v>
      </c>
      <c r="J36" s="14"/>
      <c r="K36" s="28" t="s">
        <v>991</v>
      </c>
      <c r="L36" s="30" t="s">
        <v>8</v>
      </c>
      <c r="M36" s="362">
        <v>25</v>
      </c>
      <c r="N36" s="70" t="str">
        <f t="shared" si="0"/>
        <v>新台湾ドル (TWD)</v>
      </c>
      <c r="O36" s="72">
        <f t="shared" si="1"/>
        <v>4.8769469999999995</v>
      </c>
    </row>
    <row r="37" spans="1:15">
      <c r="A37" s="12"/>
      <c r="B37" s="25">
        <v>100</v>
      </c>
      <c r="C37" s="25" t="s">
        <v>992</v>
      </c>
      <c r="D37" s="13"/>
      <c r="E37" s="13"/>
      <c r="F37" s="13"/>
      <c r="G37" s="13"/>
      <c r="H37" s="13"/>
      <c r="I37" s="25" t="s">
        <v>8</v>
      </c>
      <c r="J37" s="14"/>
      <c r="K37" s="28" t="s">
        <v>993</v>
      </c>
      <c r="L37" s="30" t="s">
        <v>8</v>
      </c>
      <c r="M37" s="362">
        <v>26</v>
      </c>
      <c r="N37" s="70" t="str">
        <f t="shared" si="0"/>
        <v>スリランカ・ルピー (LKR)</v>
      </c>
      <c r="O37" s="72">
        <f t="shared" si="1"/>
        <v>0.54135690000000014</v>
      </c>
    </row>
    <row r="38" spans="1:15">
      <c r="A38" s="12"/>
      <c r="B38" s="25">
        <v>1</v>
      </c>
      <c r="C38" s="25" t="s">
        <v>994</v>
      </c>
      <c r="D38" s="13"/>
      <c r="E38" s="13"/>
      <c r="F38" s="13"/>
      <c r="G38" s="13"/>
      <c r="H38" s="13"/>
      <c r="I38" s="25" t="s">
        <v>8</v>
      </c>
      <c r="J38" s="14"/>
      <c r="K38" s="28" t="s">
        <v>995</v>
      </c>
      <c r="L38" s="30" t="s">
        <v>8</v>
      </c>
      <c r="M38" s="362">
        <v>27</v>
      </c>
      <c r="N38" s="70" t="str">
        <f t="shared" si="0"/>
        <v>セーシェル・ルピー (SCR)</v>
      </c>
      <c r="O38" s="72">
        <f t="shared" si="1"/>
        <v>11.221713000000001</v>
      </c>
    </row>
    <row r="39" spans="1:15">
      <c r="A39" s="12"/>
      <c r="B39" s="25">
        <v>100</v>
      </c>
      <c r="C39" s="25" t="s">
        <v>996</v>
      </c>
      <c r="D39" s="13"/>
      <c r="E39" s="13"/>
      <c r="F39" s="13"/>
      <c r="G39" s="13"/>
      <c r="H39" s="13"/>
      <c r="I39" s="25" t="s">
        <v>8</v>
      </c>
      <c r="J39" s="14"/>
      <c r="K39" s="28" t="s">
        <v>997</v>
      </c>
      <c r="L39" s="30" t="s">
        <v>8</v>
      </c>
      <c r="M39" s="362">
        <v>28</v>
      </c>
      <c r="N39" s="70" t="str">
        <f t="shared" si="0"/>
        <v>タイ・バーツ (THB)</v>
      </c>
      <c r="O39" s="72">
        <f t="shared" si="1"/>
        <v>4.57707</v>
      </c>
    </row>
    <row r="40" spans="1:15">
      <c r="A40" s="12"/>
      <c r="B40" s="25">
        <v>100</v>
      </c>
      <c r="C40" s="25" t="s">
        <v>998</v>
      </c>
      <c r="D40" s="13"/>
      <c r="E40" s="13"/>
      <c r="F40" s="13"/>
      <c r="G40" s="13"/>
      <c r="H40" s="13"/>
      <c r="I40" s="25" t="s">
        <v>8</v>
      </c>
      <c r="J40" s="14"/>
      <c r="K40" s="28" t="s">
        <v>999</v>
      </c>
      <c r="L40" s="30" t="s">
        <v>8</v>
      </c>
      <c r="M40" s="362">
        <v>29</v>
      </c>
      <c r="N40" s="70" t="str">
        <f t="shared" si="0"/>
        <v>タヒチ・パシフィックフラン (XPF)</v>
      </c>
      <c r="O40" s="72">
        <f t="shared" si="1"/>
        <v>1.4094219000000001</v>
      </c>
    </row>
    <row r="41" spans="1:15">
      <c r="A41" s="12"/>
      <c r="B41" s="25">
        <v>1</v>
      </c>
      <c r="C41" s="25" t="s">
        <v>1000</v>
      </c>
      <c r="D41" s="13"/>
      <c r="E41" s="13"/>
      <c r="F41" s="13"/>
      <c r="G41" s="13"/>
      <c r="H41" s="13"/>
      <c r="I41" s="25" t="s">
        <v>8</v>
      </c>
      <c r="J41" s="14"/>
      <c r="K41" s="28" t="s">
        <v>1001</v>
      </c>
      <c r="L41" s="30" t="s">
        <v>8</v>
      </c>
      <c r="M41" s="362">
        <v>30</v>
      </c>
      <c r="N41" s="70" t="str">
        <f t="shared" si="0"/>
        <v>チェコ・コルナ (CZK)</v>
      </c>
      <c r="O41" s="72">
        <f t="shared" si="1"/>
        <v>6.6288600000000013</v>
      </c>
    </row>
    <row r="42" spans="1:15">
      <c r="A42" s="12"/>
      <c r="B42" s="25">
        <v>100</v>
      </c>
      <c r="C42" s="25" t="s">
        <v>1002</v>
      </c>
      <c r="D42" s="13"/>
      <c r="E42" s="13"/>
      <c r="F42" s="13"/>
      <c r="G42" s="13"/>
      <c r="H42" s="13"/>
      <c r="I42" s="25" t="s">
        <v>8</v>
      </c>
      <c r="J42" s="14"/>
      <c r="K42" s="28" t="s">
        <v>1003</v>
      </c>
      <c r="L42" s="30" t="s">
        <v>8</v>
      </c>
      <c r="M42" s="362">
        <v>31</v>
      </c>
      <c r="N42" s="70" t="str">
        <f t="shared" si="0"/>
        <v>チリ・ペソ (CLP)</v>
      </c>
      <c r="O42" s="72">
        <f t="shared" si="1"/>
        <v>0.16256489999999998</v>
      </c>
    </row>
    <row r="43" spans="1:15">
      <c r="A43" s="12"/>
      <c r="B43" s="25">
        <v>1</v>
      </c>
      <c r="C43" s="25" t="s">
        <v>1004</v>
      </c>
      <c r="D43" s="13"/>
      <c r="E43" s="13"/>
      <c r="F43" s="13"/>
      <c r="G43" s="13"/>
      <c r="H43" s="13"/>
      <c r="I43" s="25" t="s">
        <v>8</v>
      </c>
      <c r="J43" s="14"/>
      <c r="K43" s="28" t="s">
        <v>1005</v>
      </c>
      <c r="L43" s="30" t="s">
        <v>8</v>
      </c>
      <c r="M43" s="362">
        <v>32</v>
      </c>
      <c r="N43" s="70" t="str">
        <f t="shared" si="0"/>
        <v>デンマーク・クローネ (DKK)</v>
      </c>
      <c r="O43" s="72">
        <f t="shared" si="1"/>
        <v>22.411860000000001</v>
      </c>
    </row>
    <row r="44" spans="1:15">
      <c r="A44" s="12"/>
      <c r="B44" s="25">
        <v>1</v>
      </c>
      <c r="C44" s="25" t="s">
        <v>1006</v>
      </c>
      <c r="D44" s="13"/>
      <c r="E44" s="13"/>
      <c r="F44" s="13"/>
      <c r="G44" s="13"/>
      <c r="H44" s="13"/>
      <c r="I44" s="25" t="s">
        <v>8</v>
      </c>
      <c r="J44" s="14"/>
      <c r="K44" s="28" t="s">
        <v>853</v>
      </c>
      <c r="L44" s="30" t="s">
        <v>8</v>
      </c>
      <c r="M44" s="362">
        <v>33</v>
      </c>
      <c r="N44" s="70" t="str">
        <f t="shared" si="0"/>
        <v>トリニダード・トバゴ・ドル (TTD)</v>
      </c>
      <c r="O44" s="72">
        <f t="shared" si="1"/>
        <v>23.358840000000001</v>
      </c>
    </row>
    <row r="45" spans="1:15">
      <c r="A45" s="12"/>
      <c r="B45" s="25">
        <v>1</v>
      </c>
      <c r="C45" s="25" t="s">
        <v>1007</v>
      </c>
      <c r="D45" s="13"/>
      <c r="E45" s="13"/>
      <c r="F45" s="13"/>
      <c r="G45" s="13"/>
      <c r="H45" s="13"/>
      <c r="I45" s="25" t="s">
        <v>8</v>
      </c>
      <c r="J45" s="14"/>
      <c r="K45" s="28" t="s">
        <v>1008</v>
      </c>
      <c r="L45" s="30" t="s">
        <v>8</v>
      </c>
      <c r="M45" s="362">
        <v>34</v>
      </c>
      <c r="N45" s="70" t="str">
        <f t="shared" si="0"/>
        <v>トルコ・リラ (TRY)</v>
      </c>
      <c r="O45" s="72">
        <f t="shared" si="1"/>
        <v>4.5770700000000009</v>
      </c>
    </row>
    <row r="46" spans="1:15">
      <c r="A46" s="12"/>
      <c r="B46" s="25">
        <v>1</v>
      </c>
      <c r="C46" s="25" t="s">
        <v>1009</v>
      </c>
      <c r="D46" s="13"/>
      <c r="E46" s="13"/>
      <c r="F46" s="13"/>
      <c r="G46" s="13"/>
      <c r="H46" s="13"/>
      <c r="I46" s="25" t="s">
        <v>8</v>
      </c>
      <c r="J46" s="14"/>
      <c r="K46" s="28" t="s">
        <v>1010</v>
      </c>
      <c r="L46" s="30" t="s">
        <v>8</v>
      </c>
      <c r="M46" s="362">
        <v>35</v>
      </c>
      <c r="N46" s="70" t="str">
        <f t="shared" si="0"/>
        <v>ナイジェリア・ナイラ (NGN)</v>
      </c>
      <c r="O46" s="72">
        <f t="shared" si="1"/>
        <v>9.4224510000000011E-2</v>
      </c>
    </row>
    <row r="47" spans="1:15">
      <c r="A47" s="12"/>
      <c r="B47" s="25">
        <v>1</v>
      </c>
      <c r="C47" s="25" t="s">
        <v>1011</v>
      </c>
      <c r="D47" s="13"/>
      <c r="E47" s="13"/>
      <c r="F47" s="13"/>
      <c r="G47" s="13"/>
      <c r="H47" s="13"/>
      <c r="I47" s="25" t="s">
        <v>8</v>
      </c>
      <c r="J47" s="14"/>
      <c r="K47" s="28" t="s">
        <v>1012</v>
      </c>
      <c r="L47" s="30" t="s">
        <v>8</v>
      </c>
      <c r="M47" s="362">
        <v>36</v>
      </c>
      <c r="N47" s="70" t="str">
        <f t="shared" si="0"/>
        <v>ニュージーランド・ドル (NZD)</v>
      </c>
      <c r="O47" s="72">
        <f t="shared" si="1"/>
        <v>93.277529999999999</v>
      </c>
    </row>
    <row r="48" spans="1:15">
      <c r="A48" s="12"/>
      <c r="B48" s="25">
        <v>1</v>
      </c>
      <c r="C48" s="25" t="s">
        <v>1013</v>
      </c>
      <c r="D48" s="13"/>
      <c r="E48" s="13"/>
      <c r="F48" s="13"/>
      <c r="G48" s="13"/>
      <c r="H48" s="13"/>
      <c r="I48" s="25" t="s">
        <v>8</v>
      </c>
      <c r="J48" s="14"/>
      <c r="K48" s="28" t="s">
        <v>1014</v>
      </c>
      <c r="L48" s="30" t="s">
        <v>8</v>
      </c>
      <c r="M48" s="362">
        <v>37</v>
      </c>
      <c r="N48" s="70" t="str">
        <f t="shared" si="0"/>
        <v>ノルウェー・クローネ (NOK)</v>
      </c>
      <c r="O48" s="72">
        <f t="shared" si="1"/>
        <v>14.283615000000001</v>
      </c>
    </row>
    <row r="49" spans="1:15">
      <c r="A49" s="12"/>
      <c r="B49" s="25">
        <v>1</v>
      </c>
      <c r="C49" s="25" t="s">
        <v>1015</v>
      </c>
      <c r="D49" s="13"/>
      <c r="E49" s="13"/>
      <c r="F49" s="13"/>
      <c r="G49" s="13"/>
      <c r="H49" s="13"/>
      <c r="I49" s="25" t="s">
        <v>8</v>
      </c>
      <c r="J49" s="14"/>
      <c r="K49" s="28" t="s">
        <v>1016</v>
      </c>
      <c r="L49" s="30" t="s">
        <v>8</v>
      </c>
      <c r="M49" s="362">
        <v>38</v>
      </c>
      <c r="N49" s="70" t="str">
        <f t="shared" si="0"/>
        <v>パキスタン・ルピー (PKR)</v>
      </c>
      <c r="O49" s="72">
        <f t="shared" si="1"/>
        <v>0.56818800000000003</v>
      </c>
    </row>
    <row r="50" spans="1:15">
      <c r="A50" s="12"/>
      <c r="B50" s="25">
        <v>100</v>
      </c>
      <c r="C50" s="25" t="s">
        <v>1017</v>
      </c>
      <c r="D50" s="13"/>
      <c r="E50" s="13"/>
      <c r="F50" s="13"/>
      <c r="G50" s="13"/>
      <c r="H50" s="13"/>
      <c r="I50" s="25" t="s">
        <v>8</v>
      </c>
      <c r="J50" s="14"/>
      <c r="K50" s="28" t="s">
        <v>1018</v>
      </c>
      <c r="L50" s="30" t="s">
        <v>1019</v>
      </c>
      <c r="M50" s="362">
        <v>39</v>
      </c>
      <c r="N50" s="70" t="str">
        <f t="shared" si="0"/>
        <v>バヌアツ・バツ (VUV)</v>
      </c>
      <c r="O50" s="72">
        <f t="shared" si="1"/>
        <v>1.2973626</v>
      </c>
    </row>
    <row r="51" spans="1:15">
      <c r="A51" s="12"/>
      <c r="B51" s="25">
        <v>1</v>
      </c>
      <c r="C51" s="25" t="s">
        <v>1020</v>
      </c>
      <c r="D51" s="13"/>
      <c r="E51" s="13"/>
      <c r="F51" s="13"/>
      <c r="G51" s="13"/>
      <c r="H51" s="13"/>
      <c r="I51" s="25" t="s">
        <v>8</v>
      </c>
      <c r="J51" s="14"/>
      <c r="K51" s="28" t="s">
        <v>1021</v>
      </c>
      <c r="L51" s="30" t="s">
        <v>8</v>
      </c>
      <c r="M51" s="362">
        <v>40</v>
      </c>
      <c r="N51" s="70" t="str">
        <f t="shared" si="0"/>
        <v>パプアニューギニア・キナ (PGK)</v>
      </c>
      <c r="O51" s="72">
        <f t="shared" si="1"/>
        <v>39.930990000000001</v>
      </c>
    </row>
    <row r="52" spans="1:15">
      <c r="A52" s="12"/>
      <c r="B52" s="25">
        <v>1</v>
      </c>
      <c r="C52" s="25" t="s">
        <v>1022</v>
      </c>
      <c r="D52" s="13"/>
      <c r="E52" s="13"/>
      <c r="F52" s="13"/>
      <c r="G52" s="13"/>
      <c r="H52" s="13"/>
      <c r="I52" s="25" t="s">
        <v>8</v>
      </c>
      <c r="J52" s="14"/>
      <c r="K52" s="28" t="s">
        <v>854</v>
      </c>
      <c r="L52" s="30" t="s">
        <v>8</v>
      </c>
      <c r="M52" s="362">
        <v>41</v>
      </c>
      <c r="N52" s="70" t="str">
        <f t="shared" si="0"/>
        <v>バーレーン・ディナール (BHD)</v>
      </c>
      <c r="O52" s="72">
        <f t="shared" si="1"/>
        <v>418.24950000000001</v>
      </c>
    </row>
    <row r="53" spans="1:15">
      <c r="A53" s="12"/>
      <c r="B53" s="25">
        <v>100</v>
      </c>
      <c r="C53" s="25" t="s">
        <v>1023</v>
      </c>
      <c r="D53" s="13"/>
      <c r="E53" s="13"/>
      <c r="F53" s="13"/>
      <c r="G53" s="13"/>
      <c r="H53" s="13"/>
      <c r="I53" s="25" t="s">
        <v>8</v>
      </c>
      <c r="J53" s="14"/>
      <c r="K53" s="28" t="s">
        <v>1024</v>
      </c>
      <c r="L53" s="30" t="s">
        <v>8</v>
      </c>
      <c r="M53" s="362">
        <v>42</v>
      </c>
      <c r="N53" s="70" t="str">
        <f t="shared" si="0"/>
        <v>ハンガリー・フォリント (HUF)</v>
      </c>
      <c r="O53" s="72">
        <f t="shared" si="1"/>
        <v>0.40877970000000008</v>
      </c>
    </row>
    <row r="54" spans="1:15">
      <c r="A54" s="12"/>
      <c r="B54" s="25">
        <v>100</v>
      </c>
      <c r="C54" s="25" t="s">
        <v>1025</v>
      </c>
      <c r="D54" s="13"/>
      <c r="E54" s="13"/>
      <c r="F54" s="13"/>
      <c r="G54" s="13"/>
      <c r="H54" s="13"/>
      <c r="I54" s="25" t="s">
        <v>8</v>
      </c>
      <c r="J54" s="14"/>
      <c r="K54" s="28" t="s">
        <v>1026</v>
      </c>
      <c r="L54" s="30" t="s">
        <v>8</v>
      </c>
      <c r="M54" s="362">
        <v>43</v>
      </c>
      <c r="N54" s="70" t="str">
        <f t="shared" si="0"/>
        <v>バングラデシュ・タカ (BDT)</v>
      </c>
      <c r="O54" s="72">
        <f t="shared" si="1"/>
        <v>1.3210370999999999</v>
      </c>
    </row>
    <row r="55" spans="1:15">
      <c r="A55" s="12"/>
      <c r="B55" s="25">
        <v>1</v>
      </c>
      <c r="C55" s="25" t="s">
        <v>1027</v>
      </c>
      <c r="D55" s="13"/>
      <c r="E55" s="13"/>
      <c r="F55" s="13"/>
      <c r="G55" s="13"/>
      <c r="H55" s="13"/>
      <c r="I55" s="25" t="s">
        <v>8</v>
      </c>
      <c r="J55" s="14"/>
      <c r="K55" s="28" t="s">
        <v>1028</v>
      </c>
      <c r="L55" s="30" t="s">
        <v>8</v>
      </c>
      <c r="M55" s="362">
        <v>44</v>
      </c>
      <c r="N55" s="70" t="str">
        <f t="shared" si="0"/>
        <v>フィジー・ドル (FJD)</v>
      </c>
      <c r="O55" s="72">
        <f t="shared" si="1"/>
        <v>69.28737000000001</v>
      </c>
    </row>
    <row r="56" spans="1:15">
      <c r="A56" s="12"/>
      <c r="B56" s="25">
        <v>1</v>
      </c>
      <c r="C56" s="25" t="s">
        <v>1029</v>
      </c>
      <c r="D56" s="13"/>
      <c r="E56" s="13"/>
      <c r="F56" s="13"/>
      <c r="G56" s="13"/>
      <c r="H56" s="13"/>
      <c r="I56" s="25" t="s">
        <v>8</v>
      </c>
      <c r="J56" s="13"/>
      <c r="K56" s="28" t="s">
        <v>1030</v>
      </c>
      <c r="L56" s="30" t="s">
        <v>8</v>
      </c>
      <c r="M56" s="362">
        <v>45</v>
      </c>
      <c r="N56" s="70" t="str">
        <f t="shared" si="0"/>
        <v>フィリピン・ペソ (PHP)</v>
      </c>
      <c r="O56" s="72">
        <f t="shared" si="1"/>
        <v>2.6831100000000006</v>
      </c>
    </row>
    <row r="57" spans="1:15">
      <c r="A57" s="12"/>
      <c r="B57" s="25">
        <v>1</v>
      </c>
      <c r="C57" s="25" t="s">
        <v>1031</v>
      </c>
      <c r="D57" s="13"/>
      <c r="E57" s="13"/>
      <c r="F57" s="13"/>
      <c r="G57" s="13"/>
      <c r="H57" s="13"/>
      <c r="I57" s="25" t="s">
        <v>8</v>
      </c>
      <c r="J57" s="14"/>
      <c r="K57" s="28" t="s">
        <v>1032</v>
      </c>
      <c r="L57" s="30" t="s">
        <v>8</v>
      </c>
      <c r="M57" s="362">
        <v>46</v>
      </c>
      <c r="N57" s="70" t="str">
        <f t="shared" si="0"/>
        <v>ブラジル・レアル (BRL)</v>
      </c>
      <c r="O57" s="72">
        <f t="shared" si="1"/>
        <v>27.14676</v>
      </c>
    </row>
    <row r="58" spans="1:15">
      <c r="A58" s="12"/>
      <c r="B58" s="25">
        <v>1</v>
      </c>
      <c r="C58" s="25" t="s">
        <v>1033</v>
      </c>
      <c r="D58" s="13"/>
      <c r="E58" s="13"/>
      <c r="F58" s="13"/>
      <c r="G58" s="13"/>
      <c r="H58" s="13"/>
      <c r="I58" s="25" t="s">
        <v>8</v>
      </c>
      <c r="J58" s="14"/>
      <c r="K58" s="28" t="s">
        <v>989</v>
      </c>
      <c r="L58" s="30" t="s">
        <v>8</v>
      </c>
      <c r="M58" s="362">
        <v>47</v>
      </c>
      <c r="N58" s="70" t="str">
        <f t="shared" si="0"/>
        <v>ブルネイ・ドル (BND)</v>
      </c>
      <c r="O58" s="72">
        <f t="shared" si="1"/>
        <v>118.05684000000001</v>
      </c>
    </row>
    <row r="59" spans="1:15">
      <c r="A59" s="12"/>
      <c r="B59" s="25">
        <v>100</v>
      </c>
      <c r="C59" s="25" t="s">
        <v>1034</v>
      </c>
      <c r="D59" s="13"/>
      <c r="E59" s="13"/>
      <c r="F59" s="13"/>
      <c r="G59" s="13"/>
      <c r="H59" s="13"/>
      <c r="I59" s="25" t="s">
        <v>8</v>
      </c>
      <c r="J59" s="14"/>
      <c r="K59" s="28" t="s">
        <v>1035</v>
      </c>
      <c r="L59" s="30" t="s">
        <v>8</v>
      </c>
      <c r="M59" s="362">
        <v>48</v>
      </c>
      <c r="N59" s="70" t="str">
        <f t="shared" si="0"/>
        <v>ベトナム・ドン (VND)</v>
      </c>
      <c r="O59" s="72">
        <f t="shared" si="1"/>
        <v>6.2185020000000008E-3</v>
      </c>
    </row>
    <row r="60" spans="1:15">
      <c r="A60" s="12"/>
      <c r="B60" s="25">
        <v>1</v>
      </c>
      <c r="C60" s="25" t="s">
        <v>1036</v>
      </c>
      <c r="D60" s="13"/>
      <c r="E60" s="13"/>
      <c r="F60" s="13"/>
      <c r="G60" s="13"/>
      <c r="H60" s="13"/>
      <c r="I60" s="25" t="s">
        <v>8</v>
      </c>
      <c r="J60" s="14"/>
      <c r="K60" s="28" t="s">
        <v>1037</v>
      </c>
      <c r="L60" s="30" t="s">
        <v>8</v>
      </c>
      <c r="M60" s="362">
        <v>49</v>
      </c>
      <c r="N60" s="70" t="str">
        <f t="shared" si="0"/>
        <v>ベネズエラ・ボリーバル (VES)</v>
      </c>
      <c r="O60" s="72">
        <f t="shared" si="1"/>
        <v>3.5038260000000006</v>
      </c>
    </row>
    <row r="61" spans="1:15">
      <c r="A61" s="12"/>
      <c r="B61" s="25">
        <v>1</v>
      </c>
      <c r="C61" s="25" t="s">
        <v>1038</v>
      </c>
      <c r="D61" s="13"/>
      <c r="E61" s="13"/>
      <c r="F61" s="13"/>
      <c r="G61" s="13"/>
      <c r="H61" s="13"/>
      <c r="I61" s="25" t="s">
        <v>8</v>
      </c>
      <c r="J61" s="14"/>
      <c r="K61" s="28" t="s">
        <v>1039</v>
      </c>
      <c r="L61" s="30" t="s">
        <v>8</v>
      </c>
      <c r="M61" s="362">
        <v>50</v>
      </c>
      <c r="N61" s="70" t="str">
        <f t="shared" si="0"/>
        <v>ペルー・ヌエボ・ソル (PEN)</v>
      </c>
      <c r="O61" s="72">
        <f t="shared" si="1"/>
        <v>41.824950000000008</v>
      </c>
    </row>
    <row r="62" spans="1:15">
      <c r="A62" s="12"/>
      <c r="B62" s="25">
        <v>1</v>
      </c>
      <c r="C62" s="25" t="s">
        <v>1040</v>
      </c>
      <c r="D62" s="13"/>
      <c r="E62" s="13"/>
      <c r="F62" s="13"/>
      <c r="G62" s="13"/>
      <c r="H62" s="13"/>
      <c r="I62" s="25" t="s">
        <v>8</v>
      </c>
      <c r="J62" s="14"/>
      <c r="K62" s="28" t="s">
        <v>1041</v>
      </c>
      <c r="L62" s="30" t="s">
        <v>8</v>
      </c>
      <c r="M62" s="362">
        <v>51</v>
      </c>
      <c r="N62" s="70" t="str">
        <f t="shared" si="0"/>
        <v>ポーランド・ズロチ (PLN)</v>
      </c>
      <c r="O62" s="72">
        <f t="shared" si="1"/>
        <v>38.668350000000004</v>
      </c>
    </row>
    <row r="63" spans="1:15">
      <c r="A63" s="12"/>
      <c r="B63" s="25">
        <v>1</v>
      </c>
      <c r="C63" s="25" t="s">
        <v>1042</v>
      </c>
      <c r="D63" s="13"/>
      <c r="E63" s="13"/>
      <c r="F63" s="13"/>
      <c r="G63" s="13"/>
      <c r="H63" s="13"/>
      <c r="I63" s="25" t="s">
        <v>8</v>
      </c>
      <c r="J63" s="14"/>
      <c r="K63" s="28" t="s">
        <v>1043</v>
      </c>
      <c r="L63" s="30" t="s">
        <v>8</v>
      </c>
      <c r="M63" s="362">
        <v>52</v>
      </c>
      <c r="N63" s="70" t="str">
        <f t="shared" si="0"/>
        <v>香港ドル (HKD)</v>
      </c>
      <c r="O63" s="72">
        <f t="shared" si="1"/>
        <v>20.360070000000004</v>
      </c>
    </row>
    <row r="64" spans="1:15">
      <c r="A64" s="12"/>
      <c r="B64" s="25">
        <v>1</v>
      </c>
      <c r="C64" s="25" t="s">
        <v>1044</v>
      </c>
      <c r="D64" s="13"/>
      <c r="E64" s="13"/>
      <c r="F64" s="13"/>
      <c r="G64" s="13"/>
      <c r="H64" s="13"/>
      <c r="I64" s="25" t="s">
        <v>8</v>
      </c>
      <c r="J64" s="14"/>
      <c r="K64" s="28" t="s">
        <v>1045</v>
      </c>
      <c r="L64" s="30" t="s">
        <v>8</v>
      </c>
      <c r="M64" s="362">
        <v>53</v>
      </c>
      <c r="N64" s="70" t="str">
        <f t="shared" si="0"/>
        <v>マレーシア・リンギット (MYR)</v>
      </c>
      <c r="O64" s="72">
        <f t="shared" si="1"/>
        <v>35.511750000000006</v>
      </c>
    </row>
    <row r="65" spans="1:15">
      <c r="A65" s="12"/>
      <c r="B65" s="25">
        <v>1</v>
      </c>
      <c r="C65" s="25" t="s">
        <v>1046</v>
      </c>
      <c r="D65" s="13"/>
      <c r="E65" s="13"/>
      <c r="F65" s="13"/>
      <c r="G65" s="13"/>
      <c r="H65" s="13"/>
      <c r="I65" s="25" t="s">
        <v>8</v>
      </c>
      <c r="J65" s="14"/>
      <c r="K65" s="28" t="s">
        <v>1047</v>
      </c>
      <c r="L65" s="30" t="s">
        <v>8</v>
      </c>
      <c r="M65" s="362">
        <v>54</v>
      </c>
      <c r="N65" s="70" t="str">
        <f t="shared" si="0"/>
        <v>南アフリカ・ラント (ZAR)</v>
      </c>
      <c r="O65" s="72">
        <f t="shared" si="1"/>
        <v>8.791131</v>
      </c>
    </row>
    <row r="66" spans="1:15">
      <c r="A66" s="12"/>
      <c r="B66" s="25">
        <v>1</v>
      </c>
      <c r="C66" s="25" t="s">
        <v>1048</v>
      </c>
      <c r="D66" s="13"/>
      <c r="E66" s="13"/>
      <c r="F66" s="13"/>
      <c r="G66" s="13"/>
      <c r="H66" s="13"/>
      <c r="I66" s="25" t="s">
        <v>8</v>
      </c>
      <c r="J66" s="14"/>
      <c r="K66" s="28" t="s">
        <v>856</v>
      </c>
      <c r="L66" s="30" t="s">
        <v>8</v>
      </c>
      <c r="M66" s="362">
        <v>55</v>
      </c>
      <c r="N66" s="70" t="str">
        <f t="shared" si="0"/>
        <v>ミャンマー・チャット (MMK)</v>
      </c>
      <c r="O66" s="72">
        <f t="shared" si="1"/>
        <v>7.5127080000000013E-2</v>
      </c>
    </row>
    <row r="67" spans="1:15">
      <c r="A67" s="12"/>
      <c r="B67" s="25">
        <v>1</v>
      </c>
      <c r="C67" s="25" t="s">
        <v>1049</v>
      </c>
      <c r="D67" s="13"/>
      <c r="E67" s="13"/>
      <c r="F67" s="13"/>
      <c r="G67" s="13"/>
      <c r="H67" s="13"/>
      <c r="I67" s="25" t="s">
        <v>8</v>
      </c>
      <c r="J67" s="14"/>
      <c r="K67" s="28" t="s">
        <v>1050</v>
      </c>
      <c r="L67" s="30" t="s">
        <v>8</v>
      </c>
      <c r="M67" s="362">
        <v>56</v>
      </c>
      <c r="N67" s="70" t="str">
        <f t="shared" si="0"/>
        <v>メキシコ・ペソ (MXN)</v>
      </c>
      <c r="O67" s="72">
        <f t="shared" si="1"/>
        <v>7.7652360000000007</v>
      </c>
    </row>
    <row r="68" spans="1:15">
      <c r="A68" s="12"/>
      <c r="B68" s="25">
        <v>1</v>
      </c>
      <c r="C68" s="25" t="s">
        <v>1051</v>
      </c>
      <c r="D68" s="13"/>
      <c r="E68" s="13"/>
      <c r="F68" s="13"/>
      <c r="G68" s="13"/>
      <c r="H68" s="13"/>
      <c r="I68" s="25" t="s">
        <v>8</v>
      </c>
      <c r="J68" s="14"/>
      <c r="K68" s="28" t="s">
        <v>1052</v>
      </c>
      <c r="L68" s="30" t="s">
        <v>8</v>
      </c>
      <c r="M68" s="362">
        <v>57</v>
      </c>
      <c r="N68" s="70" t="str">
        <f t="shared" si="0"/>
        <v>モーリシャス・ルピー (MUR)</v>
      </c>
      <c r="O68" s="72">
        <f t="shared" si="1"/>
        <v>3.3933450000000001</v>
      </c>
    </row>
    <row r="69" spans="1:15">
      <c r="A69" s="12"/>
      <c r="B69" s="25">
        <v>1</v>
      </c>
      <c r="C69" s="25" t="s">
        <v>1053</v>
      </c>
      <c r="D69" s="13"/>
      <c r="E69" s="13"/>
      <c r="F69" s="13"/>
      <c r="G69" s="13"/>
      <c r="H69" s="13"/>
      <c r="I69" s="25" t="s">
        <v>8</v>
      </c>
      <c r="J69" s="14"/>
      <c r="K69" s="28" t="s">
        <v>1054</v>
      </c>
      <c r="L69" s="30" t="s">
        <v>8</v>
      </c>
      <c r="M69" s="362">
        <v>58</v>
      </c>
      <c r="N69" s="70" t="str">
        <f t="shared" si="0"/>
        <v>モロッコ・ディルハム (MAD)</v>
      </c>
      <c r="O69" s="72">
        <f t="shared" si="1"/>
        <v>15.940830000000002</v>
      </c>
    </row>
    <row r="70" spans="1:15">
      <c r="A70" s="12"/>
      <c r="B70" s="25">
        <v>1</v>
      </c>
      <c r="C70" s="25" t="s">
        <v>1055</v>
      </c>
      <c r="D70" s="13"/>
      <c r="E70" s="13"/>
      <c r="F70" s="13"/>
      <c r="G70" s="13"/>
      <c r="H70" s="13"/>
      <c r="I70" s="25" t="s">
        <v>8</v>
      </c>
      <c r="J70" s="14"/>
      <c r="K70" s="28" t="s">
        <v>858</v>
      </c>
      <c r="L70" s="30" t="s">
        <v>8</v>
      </c>
      <c r="M70" s="362">
        <v>59</v>
      </c>
      <c r="N70" s="70" t="str">
        <f t="shared" si="0"/>
        <v>ヨルダン・ディナール (JOD)</v>
      </c>
      <c r="O70" s="72">
        <f t="shared" si="1"/>
        <v>222.5403</v>
      </c>
    </row>
    <row r="71" spans="1:15">
      <c r="A71" s="12"/>
      <c r="B71" s="25">
        <v>100</v>
      </c>
      <c r="C71" s="25" t="s">
        <v>1056</v>
      </c>
      <c r="D71" s="13"/>
      <c r="E71" s="13"/>
      <c r="F71" s="13"/>
      <c r="G71" s="13"/>
      <c r="H71" s="13"/>
      <c r="I71" s="25" t="s">
        <v>8</v>
      </c>
      <c r="J71" s="14"/>
      <c r="K71" s="28" t="s">
        <v>1057</v>
      </c>
      <c r="L71" s="30" t="s">
        <v>8</v>
      </c>
      <c r="M71" s="362">
        <v>60</v>
      </c>
      <c r="N71" s="70" t="str">
        <f t="shared" si="0"/>
        <v>ラオス・キップ (LAK)</v>
      </c>
      <c r="O71" s="72">
        <f t="shared" si="1"/>
        <v>7.1970480000000002E-3</v>
      </c>
    </row>
    <row r="72" spans="1:15">
      <c r="A72" s="12"/>
      <c r="B72" s="25">
        <v>1</v>
      </c>
      <c r="C72" s="25" t="s">
        <v>1058</v>
      </c>
      <c r="D72" s="13"/>
      <c r="E72" s="13"/>
      <c r="F72" s="13"/>
      <c r="G72" s="13"/>
      <c r="H72" s="13"/>
      <c r="I72" s="25" t="s">
        <v>8</v>
      </c>
      <c r="J72" s="14"/>
      <c r="K72" s="28" t="s">
        <v>913</v>
      </c>
      <c r="L72" s="30" t="s">
        <v>8</v>
      </c>
      <c r="M72" s="362">
        <v>61</v>
      </c>
      <c r="N72" s="70" t="str">
        <f t="shared" si="0"/>
        <v>ルーマニア・レイ (RON)</v>
      </c>
      <c r="O72" s="72">
        <f t="shared" si="1"/>
        <v>33.617789999999999</v>
      </c>
    </row>
    <row r="73" spans="1:15">
      <c r="A73" s="12"/>
      <c r="B73" s="25">
        <v>100</v>
      </c>
      <c r="C73" s="25" t="s">
        <v>1059</v>
      </c>
      <c r="D73" s="13"/>
      <c r="E73" s="13"/>
      <c r="F73" s="19"/>
      <c r="G73" s="13"/>
      <c r="H73" s="14"/>
      <c r="I73" s="25" t="s">
        <v>8</v>
      </c>
      <c r="J73" s="13"/>
      <c r="K73" s="28" t="s">
        <v>1060</v>
      </c>
      <c r="L73" s="30" t="s">
        <v>8</v>
      </c>
      <c r="M73" s="362">
        <v>62</v>
      </c>
      <c r="N73" s="70" t="str">
        <f t="shared" si="0"/>
        <v>ルワンダ・フラン (RWF)</v>
      </c>
      <c r="O73" s="72">
        <f t="shared" si="1"/>
        <v>0.11537373000000001</v>
      </c>
    </row>
    <row r="74" spans="1:15">
      <c r="A74" s="12"/>
      <c r="B74" s="25">
        <v>1</v>
      </c>
      <c r="C74" s="25" t="s">
        <v>1061</v>
      </c>
      <c r="D74" s="13"/>
      <c r="E74" s="13"/>
      <c r="F74" s="13"/>
      <c r="G74" s="14"/>
      <c r="H74" s="13"/>
      <c r="I74" s="25" t="s">
        <v>8</v>
      </c>
      <c r="J74" s="13"/>
      <c r="K74" s="28" t="s">
        <v>1062</v>
      </c>
      <c r="L74" s="30" t="s">
        <v>8</v>
      </c>
      <c r="M74" s="362">
        <v>63</v>
      </c>
      <c r="N74" s="70" t="str">
        <f t="shared" si="0"/>
        <v>ロシア・ルーブル (RUB)</v>
      </c>
      <c r="O74" s="72">
        <f t="shared" si="1"/>
        <v>1.5609387000000001</v>
      </c>
    </row>
    <row r="75" spans="1:15">
      <c r="A75" s="12"/>
      <c r="B75" s="14"/>
      <c r="C75" s="14"/>
      <c r="D75" s="14"/>
      <c r="E75" s="14"/>
      <c r="F75" s="33"/>
      <c r="G75" s="34"/>
      <c r="H75" s="19"/>
      <c r="I75" s="33"/>
      <c r="J75" s="13"/>
      <c r="K75" s="35"/>
      <c r="L75" s="36"/>
      <c r="M75" s="4"/>
      <c r="N75" s="1"/>
    </row>
    <row r="76" spans="1:15">
      <c r="A76" s="12"/>
      <c r="B76" s="13" t="s">
        <v>1063</v>
      </c>
      <c r="C76" s="14"/>
      <c r="D76" s="13"/>
      <c r="E76" s="13"/>
      <c r="F76" s="37" t="s">
        <v>12</v>
      </c>
      <c r="G76" s="38"/>
      <c r="H76" s="14"/>
      <c r="I76" s="13"/>
      <c r="J76" s="14"/>
      <c r="K76" s="13"/>
      <c r="L76" s="18"/>
      <c r="M76" s="2"/>
      <c r="N76" s="1"/>
    </row>
    <row r="77" spans="1:15">
      <c r="A77" s="39"/>
      <c r="B77" s="40"/>
      <c r="C77" s="41"/>
      <c r="D77" s="42"/>
      <c r="E77" s="42"/>
      <c r="F77" s="43" t="s">
        <v>1064</v>
      </c>
      <c r="G77" s="44"/>
      <c r="H77" s="45"/>
      <c r="I77" s="42"/>
      <c r="J77" s="45"/>
      <c r="K77" s="42"/>
      <c r="L77" s="46"/>
      <c r="M77" s="2"/>
      <c r="N77" s="1"/>
    </row>
    <row r="78" spans="1:15" s="6" customFormat="1" ht="13.5">
      <c r="A78" s="5"/>
      <c r="B78" s="5"/>
      <c r="C78" s="5" t="s">
        <v>13</v>
      </c>
      <c r="D78" s="5"/>
      <c r="E78" s="5"/>
      <c r="F78" s="5"/>
      <c r="G78" s="5"/>
      <c r="H78" s="5"/>
      <c r="I78" s="5"/>
      <c r="J78" s="5"/>
      <c r="K78" s="5"/>
      <c r="L78" s="5"/>
      <c r="M78" s="5"/>
      <c r="N78" s="5"/>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workbookViewId="0">
      <selection activeCell="C51" sqref="C51"/>
    </sheetView>
  </sheetViews>
  <sheetFormatPr defaultRowHeight="13.5"/>
  <cols>
    <col min="1" max="1" width="19.375" bestFit="1" customWidth="1"/>
    <col min="2" max="2" width="14.375" customWidth="1"/>
    <col min="3" max="3" width="12.75" customWidth="1"/>
    <col min="4" max="4" width="12.375" bestFit="1" customWidth="1"/>
  </cols>
  <sheetData>
    <row r="1" spans="1:10">
      <c r="A1" s="380"/>
      <c r="B1" s="381" t="str">
        <f>IF(計算シート!C67=0,"本人","-")</f>
        <v>-</v>
      </c>
      <c r="C1" s="381" t="str">
        <f>IF(計算シート!C67=0,"生計維持者１","本人")</f>
        <v>本人</v>
      </c>
      <c r="D1" s="522" t="str">
        <f>海外居住者のための収入等申告書!L33</f>
        <v>申込者本人の配偶者</v>
      </c>
      <c r="E1" s="150"/>
      <c r="F1" s="150" t="s">
        <v>39</v>
      </c>
      <c r="G1" s="150"/>
    </row>
    <row r="2" spans="1:10">
      <c r="A2" s="381" t="s">
        <v>408</v>
      </c>
      <c r="B2" s="377">
        <f>IFERROR(IF(C67=0,DATEDIF(海外居住者のための収入等申告書!F23,計算シート!$C$46,"y"),0),125)</f>
        <v>0</v>
      </c>
      <c r="C2" s="377">
        <f>DATEDIF(海外居住者のための収入等申告書!F35,計算シート!$C$46,"y")</f>
        <v>125</v>
      </c>
      <c r="D2" s="377">
        <f>DATEDIF(海外居住者のための収入等申告書!L35,計算シート!$C$46,"y")</f>
        <v>125</v>
      </c>
      <c r="E2" s="150"/>
      <c r="F2" s="150"/>
      <c r="G2" s="150"/>
    </row>
    <row r="3" spans="1:10">
      <c r="A3" s="381" t="s">
        <v>169</v>
      </c>
      <c r="B3" s="375">
        <f>海外居住者のための収入等申告書!F29*VLOOKUP(海外居住者のための収入等申告書!F28,IF($C$49=1,前年レート!$N$12:$O$74,IF($C$49=2,当年レート!$N$12:$O$74,"")),2,0)</f>
        <v>0</v>
      </c>
      <c r="C3" s="375">
        <f>海外居住者のための収入等申告書!F44*VLOOKUP(海外居住者のための収入等申告書!F43,IF($C$49=1,前年レート!$N$12:$O$74,IF($C$49=2,当年レート!$N$12:$O$74,"")),2,0)</f>
        <v>0</v>
      </c>
      <c r="D3" s="375">
        <f>IF(VLOOKUP(海外居住者のための収入等申告書!$F$36,計算シート!$F$3:$G$10,2,0)=1,海外居住者のための収入等申告書!L44*VLOOKUP(海外居住者のための収入等申告書!L43,IF($C$49=1,前年レート!$N$12:$O$74,IF($C$49=2,当年レート!$N$12:$O$74,"")),2,0),0)</f>
        <v>0</v>
      </c>
      <c r="E3" s="150"/>
      <c r="F3" s="54" t="s">
        <v>41</v>
      </c>
      <c r="G3" s="54">
        <v>1</v>
      </c>
    </row>
    <row r="4" spans="1:10">
      <c r="A4" s="381" t="s">
        <v>16</v>
      </c>
      <c r="B4" s="375">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75">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75">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E4" s="150"/>
      <c r="F4" s="54" t="s">
        <v>43</v>
      </c>
      <c r="G4" s="54">
        <v>2</v>
      </c>
    </row>
    <row r="5" spans="1:10">
      <c r="A5" s="381" t="s">
        <v>270</v>
      </c>
      <c r="B5" s="375">
        <v>0</v>
      </c>
      <c r="C5" s="375">
        <f>海外居住者のための収入等申告書!F46*VLOOKUP(海外居住者のための収入等申告書!F45,IF($C$49=1,前年レート!$N$12:$O$74,IF($C$49=2,当年レート!$N$12:$O$74,"")),2,0)</f>
        <v>0</v>
      </c>
      <c r="D5" s="375">
        <f>IF(VLOOKUP(海外居住者のための収入等申告書!$F$36,計算シート!$F$3:$G$10,2,0)=1,海外居住者のための収入等申告書!L46*VLOOKUP(海外居住者のための収入等申告書!L45,IF($C$49=1,前年レート!$N$12:$O$74,IF($C$49=2,当年レート!$N$12:$O$74,"")),2,0),0)</f>
        <v>0</v>
      </c>
      <c r="E5" s="150"/>
      <c r="F5" s="54" t="s">
        <v>44</v>
      </c>
      <c r="G5" s="54">
        <v>3</v>
      </c>
    </row>
    <row r="6" spans="1:10">
      <c r="A6" s="381" t="s">
        <v>269</v>
      </c>
      <c r="B6" s="375">
        <v>0</v>
      </c>
      <c r="C6" s="375">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75">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E6" s="150"/>
      <c r="F6" s="54" t="s">
        <v>45</v>
      </c>
      <c r="G6" s="54">
        <v>4</v>
      </c>
    </row>
    <row r="7" spans="1:10">
      <c r="A7" s="381" t="s">
        <v>271</v>
      </c>
      <c r="B7" s="375">
        <f>海外居住者のための収入等申告書!F31*VLOOKUP(海外居住者のための収入等申告書!F30,IF($C$49=1,前年レート!$N$12:$O$74,IF($C$49=2,当年レート!$N$12:$O$74,"")),2,0)</f>
        <v>0</v>
      </c>
      <c r="C7" s="375">
        <f>海外居住者のための収入等申告書!F48*VLOOKUP(海外居住者のための収入等申告書!F47,IF($C$49=1,前年レート!$N$12:$O$74,IF($C$49=2,当年レート!$N$12:$O$74,"")),2,0)</f>
        <v>0</v>
      </c>
      <c r="D7" s="375">
        <f>IF(VLOOKUP(海外居住者のための収入等申告書!$F$36,計算シート!$F$3:$G$10,2,0)=1,海外居住者のための収入等申告書!L48*VLOOKUP(海外居住者のための収入等申告書!L47,IF($C$49=1,前年レート!$N$12:$O$74,IF($C$49=2,当年レート!$N$12:$O$74,"")),2,0),0)</f>
        <v>0</v>
      </c>
      <c r="E7" s="150"/>
      <c r="F7" s="54" t="s">
        <v>266</v>
      </c>
      <c r="G7" s="54">
        <v>5</v>
      </c>
    </row>
    <row r="8" spans="1:10">
      <c r="A8" s="381" t="s">
        <v>17</v>
      </c>
      <c r="B8" s="375">
        <f>IF(VLOOKUP(海外居住者のための収入等申告書!F27,計算シート!F3:G4,2,0)=1,SUM(B4,B6,B7),0)</f>
        <v>0</v>
      </c>
      <c r="C8" s="375">
        <f>MAX(SUM(C4,C6,C7,C54),0)</f>
        <v>0</v>
      </c>
      <c r="D8" s="375">
        <f>MAX(SUM(D4,D6,D7,D54),0)</f>
        <v>0</v>
      </c>
      <c r="E8" s="150"/>
      <c r="F8" s="54" t="str">
        <f>IF(C50=0,"寡婦（夫）でない","ひとり親でない")</f>
        <v>ひとり親でない</v>
      </c>
      <c r="G8" s="54">
        <v>6</v>
      </c>
    </row>
    <row r="9" spans="1:10">
      <c r="A9" s="381" t="s">
        <v>310</v>
      </c>
      <c r="B9" s="377">
        <v>0</v>
      </c>
      <c r="C9" s="377">
        <f>IF(VLOOKUP(海外居住者のための収入等申告書!$F$36,$F$3:$G$13,2,0)=1,1,0)</f>
        <v>1</v>
      </c>
      <c r="D9" s="377">
        <f>C9</f>
        <v>1</v>
      </c>
      <c r="E9" s="150"/>
      <c r="F9" s="54" t="str">
        <f>IF(C50=0,"寡婦である","ひとり親である")</f>
        <v>ひとり親である</v>
      </c>
      <c r="G9" s="54">
        <v>7</v>
      </c>
      <c r="J9" t="s">
        <v>633</v>
      </c>
    </row>
    <row r="10" spans="1:10">
      <c r="A10" s="381" t="s">
        <v>168</v>
      </c>
      <c r="B10" s="376" t="s">
        <v>284</v>
      </c>
      <c r="C10" s="376"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76"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E10" s="150"/>
      <c r="F10" s="54" t="str">
        <f>IF(C50=0,"寡夫である","")</f>
        <v/>
      </c>
      <c r="G10" s="54">
        <v>8</v>
      </c>
      <c r="J10" t="s">
        <v>629</v>
      </c>
    </row>
    <row r="11" spans="1:10">
      <c r="A11" s="381" t="s">
        <v>265</v>
      </c>
      <c r="B11" s="375">
        <v>0</v>
      </c>
      <c r="C11" s="37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7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E11" s="150"/>
      <c r="F11" s="89" t="s">
        <v>278</v>
      </c>
      <c r="G11" s="89">
        <v>9</v>
      </c>
      <c r="J11" t="s">
        <v>630</v>
      </c>
    </row>
    <row r="12" spans="1:10">
      <c r="A12" s="381" t="s">
        <v>18</v>
      </c>
      <c r="B12" s="375">
        <v>0</v>
      </c>
      <c r="C12" s="375">
        <f>SUM(海外居住者のための収入等申告書!F52,海外居住者のための収入等申告書!F54,C36)*T13人的控除!$B$39</f>
        <v>0</v>
      </c>
      <c r="D12" s="375">
        <f>SUM(海外居住者のための収入等申告書!L52,海外居住者のための収入等申告書!L54,D36)*T13人的控除!$B$39</f>
        <v>0</v>
      </c>
      <c r="E12" s="150"/>
      <c r="F12" s="54" t="s">
        <v>279</v>
      </c>
      <c r="G12" s="54">
        <v>10</v>
      </c>
      <c r="J12" t="s">
        <v>631</v>
      </c>
    </row>
    <row r="13" spans="1:10">
      <c r="A13" s="381" t="s">
        <v>19</v>
      </c>
      <c r="B13" s="375">
        <v>0</v>
      </c>
      <c r="C13" s="375">
        <f>SUM(C37,海外居住者のための収入等申告書!F53)*T13人的控除!$B$40</f>
        <v>0</v>
      </c>
      <c r="D13" s="375">
        <f>SUM(海外居住者のための収入等申告書!L53,D37)*T13人的控除!$B$40</f>
        <v>0</v>
      </c>
      <c r="E13" s="150"/>
      <c r="F13" s="54" t="s">
        <v>290</v>
      </c>
      <c r="G13" s="54">
        <v>11</v>
      </c>
      <c r="J13" t="s">
        <v>628</v>
      </c>
    </row>
    <row r="14" spans="1:10">
      <c r="A14" s="381" t="s">
        <v>20</v>
      </c>
      <c r="B14" s="375">
        <v>0</v>
      </c>
      <c r="C14" s="375">
        <f>海外居住者のための収入等申告書!F56*T13人的控除!$B$41</f>
        <v>0</v>
      </c>
      <c r="D14" s="375">
        <f>海外居住者のための収入等申告書!L56*T13人的控除!$B$41</f>
        <v>0</v>
      </c>
      <c r="E14" s="150"/>
      <c r="F14" s="150"/>
      <c r="G14" s="150"/>
      <c r="J14" t="s">
        <v>632</v>
      </c>
    </row>
    <row r="15" spans="1:10">
      <c r="A15" s="381" t="s">
        <v>21</v>
      </c>
      <c r="B15" s="375">
        <v>0</v>
      </c>
      <c r="C15" s="375">
        <f>海外居住者のための収入等申告書!F55*T13人的控除!$B$42</f>
        <v>0</v>
      </c>
      <c r="D15" s="375">
        <f>海外居住者のための収入等申告書!L55*T13人的控除!$B$42</f>
        <v>0</v>
      </c>
      <c r="E15" s="150"/>
      <c r="F15" s="54" t="s">
        <v>399</v>
      </c>
      <c r="G15" s="54">
        <v>1</v>
      </c>
    </row>
    <row r="16" spans="1:10">
      <c r="A16" s="381" t="s">
        <v>22</v>
      </c>
      <c r="B16" s="375">
        <f>IF(VLOOKUP(海外居住者のための収入等申告書!F25,計算シート!$F$3:$G$10,2,0)=4,1,0)*T13人的控除!$B$44</f>
        <v>0</v>
      </c>
      <c r="C16" s="375">
        <f>SUM(海外居住者のための収入等申告書!F57,C38,IF(VLOOKUP(海外居住者のための収入等申告書!$F$39,計算シート!$F$3:$G$10,2,0)=4,1,0),IF(AND(D10="e",VLOOKUP(海外居住者のための収入等申告書!$L$39,計算シート!$F$3:$G$10,2,0)=4),1,0))*T13人的控除!$B$44</f>
        <v>0</v>
      </c>
      <c r="D16" s="375">
        <f>SUM(海外居住者のための収入等申告書!L57,D38,IF(VLOOKUP(海外居住者のための収入等申告書!$L$39,計算シート!$F$3:$G$10,2,0)=4,1,0),IF(AND(C10="e",VLOOKUP(海外居住者のための収入等申告書!$F$39,計算シート!$F$3:$G$10,2,0)=4),1,0))*T13人的控除!$B$44</f>
        <v>0</v>
      </c>
      <c r="E16" s="150"/>
      <c r="F16" s="54" t="s">
        <v>397</v>
      </c>
      <c r="G16" s="54">
        <v>2</v>
      </c>
    </row>
    <row r="17" spans="1:7">
      <c r="A17" s="381" t="s">
        <v>23</v>
      </c>
      <c r="B17" s="375">
        <f>IF(VLOOKUP(海外居住者のための収入等申告書!F25,計算シート!$F$3:$G$10,2,0)=5,1,0)*T13人的控除!$B$45</f>
        <v>0</v>
      </c>
      <c r="C17" s="375">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75">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E17" s="150"/>
      <c r="F17" s="54" t="s">
        <v>398</v>
      </c>
      <c r="G17" s="54">
        <v>3</v>
      </c>
    </row>
    <row r="18" spans="1:7">
      <c r="A18" s="381" t="s">
        <v>24</v>
      </c>
      <c r="B18" s="375">
        <v>0</v>
      </c>
      <c r="C18" s="375">
        <f>SUM(海外居住者のための収入等申告書!F59,C40,IF(AND($D$10="e",VLOOKUP(海外居住者のための収入等申告書!$F$38,計算シート!$F$3:$G$10,2,0)=1,VLOOKUP(海外居住者のための収入等申告書!$L$39,計算シート!$F$3:$G$10,2,0)=5),1,0))*T13人的控除!B46</f>
        <v>0</v>
      </c>
      <c r="D18" s="375">
        <f>SUM(海外居住者のための収入等申告書!L59,D40,IF(AND($C$10="e",VLOOKUP(海外居住者のための収入等申告書!$F$38,計算シート!$F$3:$G$10,2,0)=1,VLOOKUP(海外居住者のための収入等申告書!$F$39,計算シート!$F$3:$G$10,2,0)=5),1,0))*T13人的控除!B46</f>
        <v>0</v>
      </c>
      <c r="E18" s="150"/>
      <c r="F18" s="54" t="s">
        <v>403</v>
      </c>
      <c r="G18" s="54">
        <v>4</v>
      </c>
    </row>
    <row r="19" spans="1:7">
      <c r="A19" s="382" t="s">
        <v>379</v>
      </c>
      <c r="B19" s="375">
        <f>IF(AND(B8&lt;=T13人的控除!B57+IF(C50=1,100000,0),SUM(計算シート!B6:B7)&lt;=100000),T13人的控除!B50,0)</f>
        <v>260000</v>
      </c>
      <c r="C19" s="375">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75">
        <v>0</v>
      </c>
      <c r="E19" s="150"/>
      <c r="F19" s="374" t="s">
        <v>925</v>
      </c>
      <c r="G19" s="377">
        <v>5</v>
      </c>
    </row>
    <row r="20" spans="1:7">
      <c r="A20" s="381" t="s">
        <v>26</v>
      </c>
      <c r="B20" s="375">
        <v>0</v>
      </c>
      <c r="C20" s="375">
        <v>0</v>
      </c>
      <c r="D20" s="375">
        <v>0</v>
      </c>
      <c r="E20" s="150"/>
      <c r="F20" s="377" t="s">
        <v>926</v>
      </c>
      <c r="G20" s="377">
        <v>6</v>
      </c>
    </row>
    <row r="21" spans="1:7">
      <c r="A21" s="381" t="s">
        <v>860</v>
      </c>
      <c r="B21" s="375">
        <v>0</v>
      </c>
      <c r="C21" s="375">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75">
        <v>0</v>
      </c>
      <c r="E21" s="150"/>
      <c r="F21" s="377" t="s">
        <v>927</v>
      </c>
      <c r="G21" s="377">
        <v>7</v>
      </c>
    </row>
    <row r="22" spans="1:7">
      <c r="A22" s="381" t="s">
        <v>31</v>
      </c>
      <c r="B22" s="375">
        <f>T13人的控除!$B$2+IF(C50=1,100000,0)</f>
        <v>430000</v>
      </c>
      <c r="C22" s="375">
        <f>T13人的控除!$B$2+IF(C50=1,100000,0)</f>
        <v>430000</v>
      </c>
      <c r="D22" s="375">
        <f>T13人的控除!B2+IF(C50=1,100000,0)</f>
        <v>430000</v>
      </c>
      <c r="E22" s="150"/>
      <c r="F22" s="377"/>
      <c r="G22" s="377"/>
    </row>
    <row r="23" spans="1:7">
      <c r="A23" s="381" t="s">
        <v>28</v>
      </c>
      <c r="B23" s="375">
        <v>0</v>
      </c>
      <c r="C23" s="375">
        <f>SUM(海外居住者のための収入等申告書!F51:F56,C35:C37,IF(D10="e",1,0))</f>
        <v>1</v>
      </c>
      <c r="D23" s="375">
        <f>SUM(海外居住者のための収入等申告書!L51:L56,D35:D37,IF(C10="e",1,0))</f>
        <v>0</v>
      </c>
      <c r="E23" s="150"/>
      <c r="F23" s="150"/>
      <c r="G23" s="150"/>
    </row>
    <row r="24" spans="1:7">
      <c r="A24" s="381" t="s">
        <v>29</v>
      </c>
      <c r="B24" s="375">
        <f>SUM(B3,B5,B7)*0.15</f>
        <v>0</v>
      </c>
      <c r="C24" s="375">
        <f>SUM(C3,C5,C7)*0.15</f>
        <v>0</v>
      </c>
      <c r="D24" s="375">
        <f>SUM(D3,D5,D7)*0.15</f>
        <v>0</v>
      </c>
      <c r="E24" s="150"/>
      <c r="F24" s="399" t="s">
        <v>1065</v>
      </c>
      <c r="G24" s="399">
        <v>1</v>
      </c>
    </row>
    <row r="25" spans="1:7">
      <c r="A25" s="381" t="s">
        <v>32</v>
      </c>
      <c r="B25" s="375">
        <f>T13人的控除!$B$51+IF(C50=1,100000,0)</f>
        <v>450000</v>
      </c>
      <c r="C25" s="375">
        <f>T13人的控除!$B$51*SUM(1,C23)+IF(SUM(C23)&gt;0,T13人的控除!$B$52,0)+IF(C50=1,100000,0)</f>
        <v>1120000</v>
      </c>
      <c r="D25" s="375">
        <f>T13人的控除!$B$51*SUM(1,D23)+IF(SUM(D23)&gt;0,T13人的控除!$B$52,0)+IF(C50=1,100000,0)</f>
        <v>450000</v>
      </c>
      <c r="E25" s="150"/>
      <c r="F25" s="399" t="s">
        <v>1066</v>
      </c>
      <c r="G25" s="399">
        <v>2</v>
      </c>
    </row>
    <row r="26" spans="1:7">
      <c r="A26" s="381" t="s">
        <v>33</v>
      </c>
      <c r="B26" s="375">
        <f>IF(OR(VLOOKUP(海外居住者のための収入等申告書!F25,計算シート!$F$3:$G$10,2,0)&gt;3,IF(OR(C44&lt;2023,AND(C44=2022,C45=0)),B2&lt;20,B2&lt;18)),T13人的控除!$B$53+IF(C50=1,100000,0),0)</f>
        <v>1350000</v>
      </c>
      <c r="C26" s="375">
        <f>IF(OR(SUM(C19:C21)&gt;0,VLOOKUP(海外居住者のための収入等申告書!$F$39,計算シート!$F$3:$G$10,2,0)&gt;3,IF(OR(C44&lt;2023,AND(C44=2022,C45=0)),C2&lt;20,C2&lt;18)),T13人的控除!$B$53+IF(C50=1,100000,0),0)</f>
        <v>0</v>
      </c>
      <c r="D26" s="375">
        <f>IF(OR(SUM(D19:D21)&gt;0,VLOOKUP(海外居住者のための収入等申告書!$F$39,計算シート!$F$3:$G$10,2,0)&gt;3,IF(OR(C44&lt;2023,AND(C44=2022,C45=0)),D2&lt;20,D2&lt;18)),T13人的控除!$B$53+IF(C50=1,100000,0),0)</f>
        <v>0</v>
      </c>
      <c r="E26" s="150"/>
      <c r="F26" s="399" t="s">
        <v>1070</v>
      </c>
      <c r="G26" s="399">
        <v>3</v>
      </c>
    </row>
    <row r="27" spans="1:7">
      <c r="A27" s="381" t="s">
        <v>267</v>
      </c>
      <c r="B27" s="375">
        <f>SUM(B11:B22,B24)</f>
        <v>690000</v>
      </c>
      <c r="C27" s="375">
        <f>SUM(C11:C22,C24)</f>
        <v>810000</v>
      </c>
      <c r="D27" s="375">
        <f>SUM(D11:D22,D24)</f>
        <v>430000</v>
      </c>
      <c r="E27" s="150"/>
      <c r="F27" s="399" t="s">
        <v>1071</v>
      </c>
      <c r="G27" s="399">
        <v>4</v>
      </c>
    </row>
    <row r="28" spans="1:7">
      <c r="A28" s="381" t="s">
        <v>30</v>
      </c>
      <c r="B28" s="375">
        <f>IF(B8-B27&lt;0,0,ROUNDDOWN(B8-B27,-3))</f>
        <v>0</v>
      </c>
      <c r="C28" s="375">
        <f>IF(C8-C27&lt;0,0,ROUNDDOWN(C8-C27,-3))</f>
        <v>0</v>
      </c>
      <c r="D28" s="375">
        <f>IF(D8-D27&lt;0,0,ROUNDDOWN(D8-D27,-3))</f>
        <v>0</v>
      </c>
      <c r="E28" s="150"/>
      <c r="F28" s="399" t="s">
        <v>1067</v>
      </c>
      <c r="G28" s="399">
        <v>5</v>
      </c>
    </row>
    <row r="29" spans="1:7">
      <c r="A29" s="381" t="s">
        <v>34</v>
      </c>
      <c r="B29" s="375">
        <f>B28*T16税率等!$B$2/100</f>
        <v>0</v>
      </c>
      <c r="C29" s="375">
        <f>C28*T16税率等!$B$2/100</f>
        <v>0</v>
      </c>
      <c r="D29" s="375">
        <f>D28*T16税率等!$B$2/100</f>
        <v>0</v>
      </c>
      <c r="E29" s="150"/>
      <c r="F29" s="54"/>
      <c r="G29" s="54"/>
    </row>
    <row r="30" spans="1:7">
      <c r="A30" s="381" t="s">
        <v>268</v>
      </c>
      <c r="B30" s="375">
        <v>0</v>
      </c>
      <c r="C30" s="37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7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E30" s="150"/>
      <c r="F30" s="150"/>
      <c r="G30" s="150"/>
    </row>
    <row r="31" spans="1:7">
      <c r="A31" s="381" t="s">
        <v>35</v>
      </c>
      <c r="B31" s="375">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75">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150000</v>
      </c>
      <c r="D31" s="375">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c r="E31" s="150"/>
      <c r="F31" s="150"/>
      <c r="G31" s="150"/>
    </row>
    <row r="32" spans="1:7">
      <c r="A32" s="381" t="s">
        <v>36</v>
      </c>
      <c r="B32" s="375">
        <f>ROUNDDOWN(IF(B28&lt;=T15調整控除!$B$51,IF((MIN(B31,B28))&lt;0,0,MIN(B31,B28))*T15調整控除!$B$52/100,IF((B31-(B28-T15調整控除!$B$51))*T15調整控除!$B$52/100&lt;T15調整控除!$B$53,T15調整控除!$B$53,(B31-(B28-T15調整控除!$B$51))*T15調整控除!$B$52/100)),0)</f>
        <v>0</v>
      </c>
      <c r="C32" s="375">
        <f>ROUNDDOWN(IF(C28&lt;=T15調整控除!$B$51,IF((MIN(C31,C28))&lt;0,0,MIN(C31,C28))*T15調整控除!$B$52/100,IF((C31-(C28-T15調整控除!$B$51))*T15調整控除!$B$52/100&lt;T15調整控除!$B$53,T15調整控除!$B$53,(C31-(C28-T15調整控除!$B$51))*T15調整控除!$B$52/100)),0)</f>
        <v>0</v>
      </c>
      <c r="D32" s="375">
        <f>ROUNDDOWN(IF(D28&lt;=T15調整控除!$B$51,IF((MIN(D31,D28))&lt;0,0,MIN(D31,D28))*T15調整控除!$B$52/100,IF((D31-(D28-T15調整控除!$B$51))*T15調整控除!$B$52/100&lt;T15調整控除!$B$53,T15調整控除!$B$53,(D31-(D28-T15調整控除!$B$51))*T15調整控除!$B$52/100)),0)</f>
        <v>0</v>
      </c>
      <c r="E32" s="150"/>
      <c r="F32" s="150"/>
      <c r="G32" s="150"/>
    </row>
    <row r="33" spans="1:7">
      <c r="A33" s="381" t="s">
        <v>37</v>
      </c>
      <c r="B33" s="375">
        <f>IF((((B25-B8)*T16税率等!$B$2/10)+ROUNDDOWN(B29-B32,-2))&lt;0,0,(((B25-B8)*T16税率等!$B$2/10)+ROUNDDOWN(B29-B32,-2)))</f>
        <v>270000</v>
      </c>
      <c r="C33" s="375">
        <f>IF((((C25-C8)*T16税率等!$B$2/10)+ROUNDDOWN(C29-C32,-2))&lt;0,0,(((C25-C8)*T16税率等!$B$2/10)+ROUNDDOWN(C29-C32,-2)))</f>
        <v>672000</v>
      </c>
      <c r="D33" s="375">
        <f>IF((((D25-D8)*T16税率等!$B$2/10)+ROUNDDOWN(D29-D32,-2))&lt;0,0,(((D25-D8)*T16税率等!$B$2/10)+ROUNDDOWN(D29-D32,-2)))</f>
        <v>270000</v>
      </c>
      <c r="E33" s="150"/>
      <c r="F33" s="150"/>
      <c r="G33" s="150"/>
    </row>
    <row r="34" spans="1:7">
      <c r="A34" s="381" t="s">
        <v>581</v>
      </c>
      <c r="B34" s="375">
        <f>IFERROR(IF(OR(B8&lt;=B26,B8&lt;=B25),0,ROUNDDOWN(IF(OR(B8&lt;=B25,B8&lt;=B25,B29-B32-B33&lt;0),0,B29-B32-B33),-2)),"エラー")</f>
        <v>0</v>
      </c>
      <c r="C34" s="375">
        <f>IFERROR(IF(OR(C8&lt;=C26,C8&lt;=C25),0,ROUNDDOWN(IF(OR(C8&lt;=C25,C8&lt;=C25,C29-C32-C33&lt;0),0,C29-C32-C33),-2)),"エラー")</f>
        <v>0</v>
      </c>
      <c r="D34" s="375">
        <f>IFERROR(IF(OR(D1="生計維持者２",D1="申込者本人の配偶者"),IF(VLOOKUP(海外居住者のための収入等申告書!F37,計算シート!F3:G13,2,0)=2,0,IF(OR(D8&lt;=D26,D8&lt;=D25),0,ROUNDDOWN(IF(OR(D8&lt;=D25,D8&lt;=D25,D29-D32-D33&lt;0),0,D29-D32-D33),-2))),0),"エラー")</f>
        <v>0</v>
      </c>
      <c r="E34" s="150"/>
      <c r="F34" s="150"/>
      <c r="G34" s="150"/>
    </row>
    <row r="35" spans="1:7">
      <c r="A35" s="384" t="s">
        <v>291</v>
      </c>
      <c r="B35" s="386"/>
      <c r="C35" s="375">
        <f>IF(C67=0,IF(VLOOKUP(海外居住者のための収入等申告書!$F$24,計算シート!$F$11:$G$13,2,0)=9,IF(AND($B$2&lt;16,$B$8&lt;=T11所得区分!$B$5+IF(C50=1,100000,0)),1,0),0),0)</f>
        <v>0</v>
      </c>
      <c r="D35" s="375">
        <f>IF(C67=0,IF(VLOOKUP(海外居住者のための収入等申告書!$F$24,計算シート!$F$11:$G$13,2,0)=10,IF(AND($B$2&lt;16,$B$8&lt;=T11所得区分!$B$5+IF(C50=1,100000,0)),1,0),0),0)</f>
        <v>0</v>
      </c>
      <c r="E35" s="150"/>
      <c r="F35" s="150"/>
      <c r="G35" s="150"/>
    </row>
    <row r="36" spans="1:7">
      <c r="A36" s="384" t="s">
        <v>285</v>
      </c>
      <c r="B36" s="387"/>
      <c r="C36" s="377">
        <f>IF(C67=0,IF(VLOOKUP(海外居住者のための収入等申告書!$F$24,計算シート!$F$11:$G$13,2,0)=9,IF(AND(OR(AND($B$2&gt;=16,$B$2&lt;=18),$B$2&gt;22),$B$8&lt;=T11所得区分!$B$5+IF(C50=1,100000,0)),1,0),0),0)</f>
        <v>0</v>
      </c>
      <c r="D36" s="377">
        <f>IF(C67=0,IF(VLOOKUP(海外居住者のための収入等申告書!$F$24,計算シート!$F$11:$G$13,2,0)=10,IF(AND(OR(AND($B$2&gt;=16,$B$2&lt;=18),$B$2&gt;22),$B$8&lt;=T11所得区分!$B$5+IF(C50=1,100000,0)),1,0),0),0)</f>
        <v>0</v>
      </c>
      <c r="E36" s="150"/>
      <c r="F36" s="150"/>
      <c r="G36" s="150"/>
    </row>
    <row r="37" spans="1:7">
      <c r="A37" s="384" t="s">
        <v>286</v>
      </c>
      <c r="B37" s="387"/>
      <c r="C37" s="377">
        <f>IF(C67=0,IF(VLOOKUP(海外居住者のための収入等申告書!$F$24,計算シート!$F$11:$G$13,2,0)=9,IF(AND(AND($B$2&gt;=19,$B$2&lt;=22),$B$8&lt;=T11所得区分!$B$5+IF(C50=1,100000,0)),1,0),0),0)</f>
        <v>0</v>
      </c>
      <c r="D37" s="377">
        <f>IF(C67=0,IF(VLOOKUP(海外居住者のための収入等申告書!$F$24,計算シート!$F$11:$G$13,2,0)=10,IF(AND(AND($B$2&gt;=19,$B$2&lt;=22),$B$8&lt;=T11所得区分!$B$5+IF(C50=1,100000,0)),1,0),0),0)</f>
        <v>0</v>
      </c>
      <c r="E37" s="150"/>
      <c r="F37" s="150"/>
      <c r="G37" s="150"/>
    </row>
    <row r="38" spans="1:7">
      <c r="A38" s="384" t="s">
        <v>287</v>
      </c>
      <c r="B38" s="387"/>
      <c r="C38" s="377">
        <f>IF(C67=0,IF(AND(SUM(C35:C37)&gt;0,$B$16&gt;0),1,0),0)</f>
        <v>0</v>
      </c>
      <c r="D38" s="377">
        <f>IF(C67=0,IF(AND(SUM(D35:D37)&gt;0,$B$16&gt;0),1,0),0)</f>
        <v>0</v>
      </c>
      <c r="E38" s="150"/>
      <c r="F38" s="150"/>
      <c r="G38" s="150"/>
    </row>
    <row r="39" spans="1:7">
      <c r="A39" s="384" t="s">
        <v>288</v>
      </c>
      <c r="B39" s="387"/>
      <c r="C39" s="377">
        <f>IF(C67=0,IF(AND(SUM(C35:C37)&gt;0,$B$17&gt;0,C40=0),1,0),0)</f>
        <v>0</v>
      </c>
      <c r="D39" s="377">
        <f>IF(C67=0,IF(AND(SUM(D35:D37)&gt;0,$B$17&gt;0,D40=0),1,0),0)</f>
        <v>0</v>
      </c>
      <c r="E39" s="150"/>
      <c r="F39" s="150"/>
      <c r="G39" s="150"/>
    </row>
    <row r="40" spans="1:7">
      <c r="A40" s="384" t="s">
        <v>289</v>
      </c>
      <c r="B40" s="387"/>
      <c r="C40" s="377">
        <f>IF(C67=0,IF(AND(SUM(C35:C37)&gt;0,$B$17&gt;0,VLOOKUP(海外居住者のための収入等申告書!$F$26,計算シート!$F$3:$G$13,2,0)=1),1,0),0)</f>
        <v>0</v>
      </c>
      <c r="D40" s="377">
        <f>IF(C67=0,IF(AND(SUM(D35:D37)&gt;0,$B$17&gt;0,VLOOKUP(海外居住者のための収入等申告書!$F$26,計算シート!$F$3:$G$13,2,0)=1),1,0),0)</f>
        <v>0</v>
      </c>
      <c r="E40" s="150"/>
      <c r="F40" s="150"/>
      <c r="G40" s="150"/>
    </row>
    <row r="41" spans="1:7">
      <c r="A41" s="384" t="s">
        <v>313</v>
      </c>
      <c r="B41" s="387"/>
      <c r="C41" s="375">
        <f>SUM(C3,C5)</f>
        <v>0</v>
      </c>
      <c r="D41" s="375">
        <f>SUM(D3,D5)</f>
        <v>0</v>
      </c>
      <c r="E41" s="150"/>
      <c r="F41" s="150"/>
      <c r="G41" s="150"/>
    </row>
    <row r="42" spans="1:7">
      <c r="A42" s="384" t="s">
        <v>314</v>
      </c>
      <c r="B42" s="387"/>
      <c r="C42" s="375">
        <f>C7</f>
        <v>0</v>
      </c>
      <c r="D42" s="375">
        <f>D7</f>
        <v>0</v>
      </c>
      <c r="E42" s="150"/>
      <c r="F42" s="150"/>
      <c r="G42" s="150"/>
    </row>
    <row r="43" spans="1:7">
      <c r="A43" s="384" t="s">
        <v>396</v>
      </c>
      <c r="B43" s="387"/>
      <c r="C43" s="377">
        <f>IFERROR(VLOOKUP(海外居住者のための収入等申告書!L10,計算シート!F15:G22,2,0),0)</f>
        <v>5</v>
      </c>
      <c r="D43" s="392"/>
      <c r="E43" s="150"/>
      <c r="F43" s="150"/>
      <c r="G43" s="150"/>
    </row>
    <row r="44" spans="1:7">
      <c r="A44" s="384" t="s">
        <v>400</v>
      </c>
      <c r="B44" s="387"/>
      <c r="C44" s="377">
        <f>IF(海外居住者のための収入等申告書!D10=0,2020,海外居住者のための収入等申告書!D10)</f>
        <v>2025</v>
      </c>
      <c r="D44" s="392"/>
      <c r="E44" s="150"/>
      <c r="F44" s="150"/>
      <c r="G44" s="150"/>
    </row>
    <row r="45" spans="1:7">
      <c r="A45" s="384" t="s">
        <v>405</v>
      </c>
      <c r="B45" s="387"/>
      <c r="C45" s="377">
        <f>IF(OR(C43=2,C43=6),0,1)</f>
        <v>1</v>
      </c>
      <c r="D45" s="392"/>
      <c r="E45" s="150"/>
      <c r="F45" s="150"/>
      <c r="G45" s="150"/>
    </row>
    <row r="46" spans="1:7">
      <c r="A46" s="384" t="s">
        <v>402</v>
      </c>
      <c r="B46" s="387"/>
      <c r="C46" s="378">
        <f>IF(C45=0,DATE(C44-1,1,1),DATE(C44,1,1))</f>
        <v>45658</v>
      </c>
      <c r="D46" s="392"/>
      <c r="E46" s="150"/>
      <c r="F46" s="150"/>
      <c r="G46" s="150"/>
    </row>
    <row r="47" spans="1:7">
      <c r="A47" s="384" t="s">
        <v>412</v>
      </c>
      <c r="B47" s="387"/>
      <c r="C47" s="379">
        <f>YEAR(前年レート!K3)</f>
        <v>2023</v>
      </c>
      <c r="D47" s="392"/>
      <c r="E47" s="150"/>
      <c r="F47" s="150"/>
      <c r="G47" s="150"/>
    </row>
    <row r="48" spans="1:7">
      <c r="A48" s="384" t="s">
        <v>413</v>
      </c>
      <c r="B48" s="387"/>
      <c r="C48" s="379">
        <f>YEAR(当年レート!K3)</f>
        <v>2024</v>
      </c>
      <c r="D48" s="392"/>
      <c r="E48" s="150"/>
      <c r="F48" s="150"/>
      <c r="G48" s="150"/>
    </row>
    <row r="49" spans="1:7">
      <c r="A49" s="384" t="s">
        <v>414</v>
      </c>
      <c r="B49" s="387"/>
      <c r="C49" s="377">
        <f>IF(YEAR(C46)-1=C47,1,IF(YEAR(C46)-1=C48,2,0))</f>
        <v>2</v>
      </c>
      <c r="D49" s="392"/>
      <c r="E49" s="150"/>
      <c r="F49" s="150"/>
      <c r="G49" s="150"/>
    </row>
    <row r="50" spans="1:7">
      <c r="A50" s="384" t="s">
        <v>580</v>
      </c>
      <c r="B50" s="387"/>
      <c r="C50" s="51">
        <f>IF(C44&lt;=2020,0,IF(AND(C44=2020,C43=2),0,1))</f>
        <v>1</v>
      </c>
      <c r="D50" s="55"/>
    </row>
    <row r="51" spans="1:7">
      <c r="A51" s="464" t="s">
        <v>1105</v>
      </c>
      <c r="B51" s="465"/>
      <c r="C51" s="541">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541">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7">
      <c r="A52" s="464" t="s">
        <v>1104</v>
      </c>
      <c r="B52" s="465"/>
      <c r="C52" s="541">
        <f>MAX(SUM(C51,C6,C7,C54),0)</f>
        <v>0</v>
      </c>
      <c r="D52" s="541">
        <f>MAX(SUM(D51,D6,D7,D54),0)</f>
        <v>0</v>
      </c>
    </row>
    <row r="53" spans="1:7">
      <c r="A53" s="384" t="s">
        <v>604</v>
      </c>
      <c r="B53" s="387"/>
      <c r="C53" s="541">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541">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7">
      <c r="A54" s="385" t="s">
        <v>605</v>
      </c>
      <c r="B54" s="388"/>
      <c r="C54" s="541">
        <f>IF(AND($C$50=1,C51&gt;0,C6&gt;0,SUM(C51,C6)&gt;T11所得区分!$B$79),SUM(MIN(計算シート!C51,T11所得区分!$B$79),MIN(計算シート!C6,T11所得区分!$B$79),-100000),0)</f>
        <v>0</v>
      </c>
      <c r="D54" s="541">
        <f>IF(AND($C$50=1,D51&gt;0,D6&gt;0,SUM(D51,D6)&gt;T11所得区分!$B$79),SUM(MIN(計算シート!D51,T11所得区分!$B$79),MIN(計算シート!D6,T11所得区分!$B$79),-100000),0)</f>
        <v>0</v>
      </c>
    </row>
    <row r="55" spans="1:7">
      <c r="A55" s="384" t="s">
        <v>634</v>
      </c>
      <c r="B55" s="387"/>
      <c r="C55" s="51">
        <f>IF(YEAR(C46)&gt;2021,1,0)</f>
        <v>1</v>
      </c>
      <c r="D55" s="55"/>
    </row>
    <row r="56" spans="1:7">
      <c r="A56" s="384" t="s">
        <v>635</v>
      </c>
      <c r="B56" s="387"/>
      <c r="C56" s="377">
        <f>IFERROR(DATEDIF(IF(計算シート!C67=0,海外居住者のための収入等申告書!F23,海外居住者のための収入等申告書!F35),C46-1,"y"),125)</f>
        <v>124</v>
      </c>
      <c r="D56" s="55"/>
    </row>
    <row r="57" spans="1:7">
      <c r="A57" s="384" t="s">
        <v>387</v>
      </c>
      <c r="B57" s="387"/>
      <c r="C57" s="377">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v>
      </c>
      <c r="D57" s="55"/>
    </row>
    <row r="58" spans="1:7">
      <c r="A58" s="384" t="s">
        <v>636</v>
      </c>
      <c r="B58" s="387"/>
      <c r="C58" s="51">
        <f>IF(計算シート!C67=0,IFERROR(IF(AND(C55=1,C56=18,C57&gt;101,C57&lt;=401),1,0),0),0)</f>
        <v>0</v>
      </c>
      <c r="D58" s="55"/>
    </row>
    <row r="59" spans="1:7">
      <c r="A59" s="384" t="s">
        <v>637</v>
      </c>
      <c r="B59" s="387"/>
      <c r="C59" s="51">
        <f>IF(AND(C58=1,SUM(C36)&gt;0,IF(SUM(D36)&gt;0,IF(C34&gt;=D34,1,0),1)&gt;0),7200,0)</f>
        <v>0</v>
      </c>
      <c r="D59" s="51">
        <f>IF(AND(C58=1,SUM(D36)&gt;0,IF(SUM(C36)&gt;0,IF(C34&lt;D34,1,0),1)&gt;0),7200,0)</f>
        <v>0</v>
      </c>
    </row>
    <row r="60" spans="1:7">
      <c r="A60" s="384" t="s">
        <v>638</v>
      </c>
      <c r="B60" s="387"/>
      <c r="C60" s="393">
        <f>IFERROR(MAX(0,C34-C59),C34)</f>
        <v>0</v>
      </c>
      <c r="D60" s="393">
        <f>IFERROR(MAX(0,D34-D59),D34)</f>
        <v>0</v>
      </c>
    </row>
    <row r="61" spans="1:7">
      <c r="A61" s="384" t="s">
        <v>868</v>
      </c>
      <c r="B61" s="387"/>
      <c r="C61" s="51">
        <f>IFERROR(IF(OR(C8&lt;=C26,C8&lt;=C25,C29-C32-C59&lt;0),0,ROUNDDOWN(C29-C32-C59,-2)),"エラー")</f>
        <v>0</v>
      </c>
      <c r="D61" s="51">
        <f>IFERROR(IF(OR(D1="生計維持者２",D1="申込者本人の配偶者"),IF(VLOOKUP(海外居住者のための収入等申告書!F37,計算シート!F3:G13,2,0)=2,0,IF(OR(D8&lt;=D26,D8&lt;=D25,D29-D32-D59&lt;0),0,ROUNDDOWN(D29-D32-D59,-2))),0),"エラー")</f>
        <v>0</v>
      </c>
    </row>
    <row r="62" spans="1:7">
      <c r="A62" s="384" t="s">
        <v>863</v>
      </c>
      <c r="B62" s="387"/>
      <c r="C62" s="402">
        <f>IF(OR(AND(C44&gt;2023,C43&lt;5),AND(C44&gt;2024,C43&gt;=5),AND(C44=2023,C43=1),AND(C44=2024,C43=5)),1,0)</f>
        <v>1</v>
      </c>
      <c r="D62" s="55"/>
    </row>
    <row r="63" spans="1:7">
      <c r="A63" s="464" t="s">
        <v>1072</v>
      </c>
      <c r="B63" s="465"/>
      <c r="C63" s="466">
        <f>IFERROR(IF(OR(VLOOKUP(海外居住者のための収入等申告書!I15,計算シート!F24:G29,2,0)&lt;5,海外居住者のための収入等申告書!I13&lt;=海外居住者のための収入等申告書!F35),1,0),0)</f>
        <v>1</v>
      </c>
      <c r="D63" s="402">
        <f>IFERROR(IF(D1="生計維持者２",1,0),0)</f>
        <v>0</v>
      </c>
    </row>
    <row r="64" spans="1:7">
      <c r="A64" s="464" t="s">
        <v>861</v>
      </c>
      <c r="B64" s="465"/>
      <c r="C64" s="398">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0</v>
      </c>
      <c r="D64" s="55"/>
    </row>
    <row r="65" spans="1:4">
      <c r="A65" s="464" t="s">
        <v>1068</v>
      </c>
      <c r="B65" s="465"/>
      <c r="C65" s="402">
        <f>IF(OR(AND(C63=1,SUM(C35:C37)&gt;0),AND(D63=1,SUM(D35:D37)&gt;0)),1,0)</f>
        <v>0</v>
      </c>
      <c r="D65" s="198"/>
    </row>
    <row r="66" spans="1:4">
      <c r="A66" s="400" t="s">
        <v>862</v>
      </c>
      <c r="B66" s="401"/>
      <c r="C66" s="460">
        <f>IF(計算シート!C67=0,IF(OR(SUM(C19:D21)&gt;0,SUM(C9:D9)=0),1,0),0)</f>
        <v>0</v>
      </c>
      <c r="D66" s="55"/>
    </row>
    <row r="67" spans="1:4">
      <c r="A67" s="461" t="s">
        <v>928</v>
      </c>
      <c r="B67" s="462"/>
      <c r="C67" s="463">
        <f>IF(VLOOKUP(海外居住者のための収入等申告書!L10,計算シート!F14:G22,2,0)&gt;4,1,0)</f>
        <v>1</v>
      </c>
      <c r="D67" s="55"/>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2"/>
  <sheetViews>
    <sheetView topLeftCell="DR1" workbookViewId="0">
      <selection activeCell="DJ1" sqref="DJ1"/>
    </sheetView>
  </sheetViews>
  <sheetFormatPr defaultRowHeight="13.5"/>
  <cols>
    <col min="1" max="1" width="24.5" bestFit="1" customWidth="1"/>
  </cols>
  <sheetData>
    <row r="1" spans="1:153">
      <c r="A1" s="390" t="s">
        <v>784</v>
      </c>
      <c r="B1" s="381" t="s">
        <v>640</v>
      </c>
      <c r="C1" s="381" t="s">
        <v>641</v>
      </c>
      <c r="D1" s="381" t="s">
        <v>642</v>
      </c>
      <c r="E1" s="381" t="s">
        <v>643</v>
      </c>
      <c r="F1" s="381" t="s">
        <v>644</v>
      </c>
      <c r="G1" s="381" t="s">
        <v>645</v>
      </c>
      <c r="H1" s="381" t="s">
        <v>646</v>
      </c>
      <c r="I1" s="381" t="s">
        <v>647</v>
      </c>
      <c r="J1" s="381" t="s">
        <v>648</v>
      </c>
      <c r="K1" s="381" t="s">
        <v>649</v>
      </c>
      <c r="L1" s="381" t="s">
        <v>650</v>
      </c>
      <c r="M1" s="381" t="s">
        <v>651</v>
      </c>
      <c r="N1" s="381" t="s">
        <v>652</v>
      </c>
      <c r="O1" s="381" t="s">
        <v>653</v>
      </c>
      <c r="P1" s="381" t="s">
        <v>654</v>
      </c>
      <c r="Q1" s="381" t="s">
        <v>655</v>
      </c>
      <c r="R1" s="381" t="s">
        <v>656</v>
      </c>
      <c r="S1" s="382" t="s">
        <v>657</v>
      </c>
      <c r="T1" s="381" t="s">
        <v>658</v>
      </c>
      <c r="U1" s="381" t="s">
        <v>1094</v>
      </c>
      <c r="V1" s="381" t="s">
        <v>659</v>
      </c>
      <c r="W1" s="381" t="s">
        <v>660</v>
      </c>
      <c r="X1" s="381" t="s">
        <v>661</v>
      </c>
      <c r="Y1" s="381" t="s">
        <v>662</v>
      </c>
      <c r="Z1" s="381" t="s">
        <v>663</v>
      </c>
      <c r="AA1" s="381" t="s">
        <v>664</v>
      </c>
      <c r="AB1" s="381" t="s">
        <v>665</v>
      </c>
      <c r="AC1" s="381" t="s">
        <v>666</v>
      </c>
      <c r="AD1" s="381" t="s">
        <v>667</v>
      </c>
      <c r="AE1" s="381" t="s">
        <v>668</v>
      </c>
      <c r="AF1" s="381" t="s">
        <v>669</v>
      </c>
      <c r="AG1" s="381" t="s">
        <v>670</v>
      </c>
      <c r="AH1" s="381" t="s">
        <v>671</v>
      </c>
      <c r="AI1" s="381" t="s">
        <v>672</v>
      </c>
      <c r="AJ1" s="381" t="s">
        <v>673</v>
      </c>
      <c r="AK1" s="381" t="s">
        <v>674</v>
      </c>
      <c r="AL1" s="381" t="s">
        <v>675</v>
      </c>
      <c r="AM1" s="381" t="s">
        <v>676</v>
      </c>
      <c r="AN1" s="381" t="s">
        <v>677</v>
      </c>
      <c r="AO1" s="381" t="s">
        <v>678</v>
      </c>
      <c r="AP1" s="381" t="s">
        <v>679</v>
      </c>
      <c r="AQ1" s="381" t="s">
        <v>680</v>
      </c>
      <c r="AR1" s="381" t="s">
        <v>681</v>
      </c>
      <c r="AS1" s="381" t="s">
        <v>682</v>
      </c>
      <c r="AT1" s="381" t="s">
        <v>683</v>
      </c>
      <c r="AU1" s="381" t="s">
        <v>684</v>
      </c>
      <c r="AV1" s="381" t="s">
        <v>685</v>
      </c>
      <c r="AW1" s="381" t="s">
        <v>686</v>
      </c>
      <c r="AX1" s="381" t="s">
        <v>687</v>
      </c>
      <c r="AY1" s="381" t="s">
        <v>688</v>
      </c>
      <c r="AZ1" s="382" t="s">
        <v>689</v>
      </c>
      <c r="BA1" s="381" t="s">
        <v>690</v>
      </c>
      <c r="BB1" s="381" t="s">
        <v>1095</v>
      </c>
      <c r="BC1" s="381" t="s">
        <v>691</v>
      </c>
      <c r="BD1" s="381" t="s">
        <v>692</v>
      </c>
      <c r="BE1" s="381" t="s">
        <v>693</v>
      </c>
      <c r="BF1" s="381" t="s">
        <v>694</v>
      </c>
      <c r="BG1" s="381" t="s">
        <v>695</v>
      </c>
      <c r="BH1" s="381" t="s">
        <v>696</v>
      </c>
      <c r="BI1" s="381" t="s">
        <v>697</v>
      </c>
      <c r="BJ1" s="381" t="s">
        <v>698</v>
      </c>
      <c r="BK1" s="381" t="s">
        <v>699</v>
      </c>
      <c r="BL1" s="381" t="s">
        <v>700</v>
      </c>
      <c r="BM1" s="381" t="s">
        <v>701</v>
      </c>
      <c r="BN1" s="381" t="s">
        <v>702</v>
      </c>
      <c r="BO1" s="381" t="s">
        <v>703</v>
      </c>
      <c r="BP1" s="383" t="s">
        <v>704</v>
      </c>
      <c r="BQ1" s="383" t="s">
        <v>705</v>
      </c>
      <c r="BR1" s="383" t="s">
        <v>706</v>
      </c>
      <c r="BS1" s="383" t="s">
        <v>707</v>
      </c>
      <c r="BT1" s="383" t="s">
        <v>708</v>
      </c>
      <c r="BU1" s="383" t="s">
        <v>709</v>
      </c>
      <c r="BV1" s="383" t="s">
        <v>710</v>
      </c>
      <c r="BW1" s="383" t="s">
        <v>711</v>
      </c>
      <c r="BX1" s="383" t="s">
        <v>712</v>
      </c>
      <c r="BY1" s="383" t="s">
        <v>713</v>
      </c>
      <c r="BZ1" s="383" t="s">
        <v>714</v>
      </c>
      <c r="CA1" s="383" t="s">
        <v>715</v>
      </c>
      <c r="CB1" s="383" t="s">
        <v>716</v>
      </c>
      <c r="CC1" s="383" t="s">
        <v>717</v>
      </c>
      <c r="CD1" s="383" t="s">
        <v>718</v>
      </c>
      <c r="CE1" s="384" t="s">
        <v>719</v>
      </c>
      <c r="CF1" s="384" t="s">
        <v>720</v>
      </c>
      <c r="CG1" s="385" t="s">
        <v>721</v>
      </c>
      <c r="CH1" s="389" t="s">
        <v>722</v>
      </c>
      <c r="CI1" s="389" t="s">
        <v>723</v>
      </c>
      <c r="CJ1" s="389" t="s">
        <v>724</v>
      </c>
      <c r="CK1" s="389" t="s">
        <v>725</v>
      </c>
      <c r="CL1" s="389" t="s">
        <v>726</v>
      </c>
      <c r="CM1" s="389" t="s">
        <v>727</v>
      </c>
      <c r="CN1" s="381" t="s">
        <v>728</v>
      </c>
      <c r="CO1" s="381" t="s">
        <v>729</v>
      </c>
      <c r="CP1" s="381" t="s">
        <v>730</v>
      </c>
      <c r="CQ1" s="381" t="s">
        <v>731</v>
      </c>
      <c r="CR1" s="381" t="s">
        <v>732</v>
      </c>
      <c r="CS1" s="381" t="s">
        <v>733</v>
      </c>
      <c r="CT1" s="381" t="s">
        <v>734</v>
      </c>
      <c r="CU1" s="381" t="s">
        <v>735</v>
      </c>
      <c r="CV1" s="381" t="s">
        <v>736</v>
      </c>
      <c r="CW1" s="381" t="s">
        <v>737</v>
      </c>
      <c r="CX1" s="381" t="s">
        <v>738</v>
      </c>
      <c r="CY1" s="381" t="s">
        <v>739</v>
      </c>
      <c r="CZ1" s="381" t="s">
        <v>740</v>
      </c>
      <c r="DA1" s="381" t="s">
        <v>741</v>
      </c>
      <c r="DB1" s="381" t="s">
        <v>742</v>
      </c>
      <c r="DC1" s="381" t="s">
        <v>743</v>
      </c>
      <c r="DD1" s="381" t="s">
        <v>744</v>
      </c>
      <c r="DE1" s="382" t="s">
        <v>745</v>
      </c>
      <c r="DF1" s="381" t="s">
        <v>746</v>
      </c>
      <c r="DG1" s="381" t="s">
        <v>1096</v>
      </c>
      <c r="DH1" s="381" t="s">
        <v>747</v>
      </c>
      <c r="DI1" s="381" t="s">
        <v>748</v>
      </c>
      <c r="DJ1" s="381" t="s">
        <v>749</v>
      </c>
      <c r="DK1" s="381" t="s">
        <v>750</v>
      </c>
      <c r="DL1" s="381" t="s">
        <v>751</v>
      </c>
      <c r="DM1" s="381" t="s">
        <v>752</v>
      </c>
      <c r="DN1" s="381" t="s">
        <v>753</v>
      </c>
      <c r="DO1" s="381" t="s">
        <v>754</v>
      </c>
      <c r="DP1" s="381" t="s">
        <v>755</v>
      </c>
      <c r="DQ1" s="381" t="s">
        <v>756</v>
      </c>
      <c r="DR1" s="381" t="s">
        <v>757</v>
      </c>
      <c r="DS1" s="381" t="s">
        <v>758</v>
      </c>
      <c r="DT1" s="381" t="s">
        <v>759</v>
      </c>
      <c r="DU1" s="383" t="s">
        <v>760</v>
      </c>
      <c r="DV1" s="383" t="s">
        <v>761</v>
      </c>
      <c r="DW1" s="383" t="s">
        <v>762</v>
      </c>
      <c r="DX1" s="383" t="s">
        <v>763</v>
      </c>
      <c r="DY1" s="383" t="s">
        <v>764</v>
      </c>
      <c r="DZ1" s="383" t="s">
        <v>765</v>
      </c>
      <c r="EA1" s="383" t="s">
        <v>766</v>
      </c>
      <c r="EB1" s="383" t="s">
        <v>767</v>
      </c>
      <c r="EC1" s="383" t="s">
        <v>768</v>
      </c>
      <c r="ED1" s="383" t="s">
        <v>769</v>
      </c>
      <c r="EE1" s="383" t="s">
        <v>770</v>
      </c>
      <c r="EF1" s="383" t="s">
        <v>771</v>
      </c>
      <c r="EG1" s="383" t="s">
        <v>772</v>
      </c>
      <c r="EH1" s="383" t="s">
        <v>773</v>
      </c>
      <c r="EI1" s="383" t="s">
        <v>774</v>
      </c>
      <c r="EJ1" s="384" t="s">
        <v>775</v>
      </c>
      <c r="EK1" s="384" t="s">
        <v>776</v>
      </c>
      <c r="EL1" s="385" t="s">
        <v>777</v>
      </c>
      <c r="EM1" s="389" t="s">
        <v>778</v>
      </c>
      <c r="EN1" s="389" t="s">
        <v>779</v>
      </c>
      <c r="EO1" s="389" t="s">
        <v>780</v>
      </c>
      <c r="EP1" s="389" t="s">
        <v>781</v>
      </c>
      <c r="EQ1" s="389" t="s">
        <v>782</v>
      </c>
      <c r="ER1" s="389" t="s">
        <v>783</v>
      </c>
      <c r="ES1" s="391" t="s">
        <v>864</v>
      </c>
      <c r="ET1" s="391" t="s">
        <v>865</v>
      </c>
      <c r="EU1" s="391" t="s">
        <v>866</v>
      </c>
      <c r="EV1" s="391" t="s">
        <v>1093</v>
      </c>
      <c r="EW1" s="391" t="s">
        <v>867</v>
      </c>
    </row>
    <row r="2" spans="1:153">
      <c r="A2" t="str">
        <f>海外居住者のための収入等申告書!D11&amp;海外居住者のための収入等申告書!H11&amp;海外居住者のための収入等申告書!L11</f>
        <v/>
      </c>
      <c r="B2">
        <f ca="1">INDIRECT("計算シート!B"&amp;COLUMN(B1))</f>
        <v>0</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1350000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1</v>
      </c>
      <c r="BE2">
        <f t="shared" ca="1" si="1"/>
        <v>0</v>
      </c>
      <c r="BF2">
        <f t="shared" ca="1" si="1"/>
        <v>1120000</v>
      </c>
      <c r="BG2">
        <f t="shared" ca="1" si="1"/>
        <v>0</v>
      </c>
      <c r="BH2">
        <f t="shared" ca="1" si="1"/>
        <v>810000</v>
      </c>
      <c r="BI2">
        <f t="shared" ca="1" si="1"/>
        <v>0</v>
      </c>
      <c r="BJ2">
        <f t="shared" ca="1" si="1"/>
        <v>0</v>
      </c>
      <c r="BK2">
        <f t="shared" ca="1" si="1"/>
        <v>100000</v>
      </c>
      <c r="BL2">
        <f t="shared" ca="1" si="1"/>
        <v>150000</v>
      </c>
      <c r="BM2">
        <f t="shared" ca="1" si="1"/>
        <v>0</v>
      </c>
      <c r="BN2">
        <f t="shared" ca="1" si="1"/>
        <v>672000</v>
      </c>
      <c r="BO2">
        <f t="shared" ca="1" si="1"/>
        <v>0</v>
      </c>
      <c r="BP2">
        <f t="shared" ca="1" si="1"/>
        <v>0</v>
      </c>
      <c r="BQ2">
        <f t="shared" ca="1" si="1"/>
        <v>0</v>
      </c>
      <c r="BR2">
        <f t="shared" ca="1" si="1"/>
        <v>0</v>
      </c>
      <c r="BS2">
        <f t="shared" ca="1" si="1"/>
        <v>0</v>
      </c>
      <c r="BT2">
        <f t="shared" ca="1" si="1"/>
        <v>0</v>
      </c>
      <c r="BU2">
        <f t="shared" ca="1" si="1"/>
        <v>0</v>
      </c>
      <c r="BV2">
        <f t="shared" ca="1" si="1"/>
        <v>0</v>
      </c>
      <c r="BW2">
        <f t="shared" ca="1" si="1"/>
        <v>0</v>
      </c>
      <c r="BX2">
        <f t="shared" ca="1" si="1"/>
        <v>5</v>
      </c>
      <c r="BY2">
        <f t="shared" ca="1" si="1"/>
        <v>2025</v>
      </c>
      <c r="BZ2">
        <f t="shared" ca="1" si="1"/>
        <v>1</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124</v>
      </c>
      <c r="CL2">
        <f t="shared" ca="1" si="1"/>
        <v>100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0</v>
      </c>
      <c r="EV2">
        <f>計算シート!C65</f>
        <v>0</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zoomScaleNormal="100" workbookViewId="0">
      <selection activeCell="C51" sqref="C51"/>
    </sheetView>
  </sheetViews>
  <sheetFormatPr defaultRowHeight="13.5"/>
  <cols>
    <col min="2" max="2" width="9.5" style="55" bestFit="1" customWidth="1"/>
    <col min="4" max="4" width="46.5" bestFit="1" customWidth="1"/>
  </cols>
  <sheetData>
    <row r="1" spans="1:4">
      <c r="A1" s="50" t="s">
        <v>170</v>
      </c>
      <c r="B1" s="49" t="s">
        <v>50</v>
      </c>
      <c r="C1" s="50" t="s">
        <v>51</v>
      </c>
      <c r="D1" s="50" t="s">
        <v>52</v>
      </c>
    </row>
    <row r="2" spans="1:4">
      <c r="A2" s="50">
        <v>1</v>
      </c>
      <c r="B2" s="49">
        <v>9000000</v>
      </c>
      <c r="C2" s="50" t="s">
        <v>53</v>
      </c>
      <c r="D2" s="50" t="s">
        <v>54</v>
      </c>
    </row>
    <row r="3" spans="1:4">
      <c r="A3" s="50">
        <v>2</v>
      </c>
      <c r="B3" s="49">
        <v>9500000</v>
      </c>
      <c r="C3" s="50" t="s">
        <v>53</v>
      </c>
      <c r="D3" s="50" t="s">
        <v>55</v>
      </c>
    </row>
    <row r="4" spans="1:4">
      <c r="A4" s="50">
        <v>3</v>
      </c>
      <c r="B4" s="49">
        <v>10000000</v>
      </c>
      <c r="C4" s="50" t="s">
        <v>53</v>
      </c>
      <c r="D4" s="50" t="s">
        <v>56</v>
      </c>
    </row>
    <row r="5" spans="1:4">
      <c r="A5" s="50">
        <v>4</v>
      </c>
      <c r="B5" s="49">
        <v>380000</v>
      </c>
      <c r="C5" s="50" t="s">
        <v>53</v>
      </c>
      <c r="D5" s="50" t="s">
        <v>57</v>
      </c>
    </row>
    <row r="6" spans="1:4">
      <c r="A6" s="50">
        <v>5</v>
      </c>
      <c r="B6" s="49">
        <v>400000</v>
      </c>
      <c r="C6" s="50" t="s">
        <v>53</v>
      </c>
      <c r="D6" s="50" t="s">
        <v>58</v>
      </c>
    </row>
    <row r="7" spans="1:4">
      <c r="A7" s="50">
        <v>6</v>
      </c>
      <c r="B7" s="49">
        <v>450000</v>
      </c>
      <c r="C7" s="50" t="s">
        <v>53</v>
      </c>
      <c r="D7" s="50" t="s">
        <v>59</v>
      </c>
    </row>
    <row r="8" spans="1:4">
      <c r="A8" s="50">
        <v>7</v>
      </c>
      <c r="B8" s="49">
        <v>900000</v>
      </c>
      <c r="C8" s="50" t="s">
        <v>53</v>
      </c>
      <c r="D8" s="50" t="s">
        <v>60</v>
      </c>
    </row>
    <row r="9" spans="1:4">
      <c r="A9" s="50">
        <v>8</v>
      </c>
      <c r="B9" s="49">
        <v>950000</v>
      </c>
      <c r="C9" s="50" t="s">
        <v>53</v>
      </c>
      <c r="D9" s="50" t="s">
        <v>61</v>
      </c>
    </row>
    <row r="10" spans="1:4">
      <c r="A10" s="50">
        <v>9</v>
      </c>
      <c r="B10" s="51">
        <v>1000000</v>
      </c>
      <c r="C10" s="50" t="s">
        <v>53</v>
      </c>
      <c r="D10" s="50" t="s">
        <v>62</v>
      </c>
    </row>
    <row r="11" spans="1:4">
      <c r="A11" s="50">
        <v>10</v>
      </c>
      <c r="B11" s="51">
        <v>1050000</v>
      </c>
      <c r="C11" s="50" t="s">
        <v>53</v>
      </c>
      <c r="D11" s="50" t="s">
        <v>63</v>
      </c>
    </row>
    <row r="12" spans="1:4">
      <c r="A12" s="50">
        <v>11</v>
      </c>
      <c r="B12" s="51">
        <v>1100000</v>
      </c>
      <c r="C12" s="50" t="s">
        <v>53</v>
      </c>
      <c r="D12" s="50" t="s">
        <v>64</v>
      </c>
    </row>
    <row r="13" spans="1:4">
      <c r="A13" s="50">
        <v>12</v>
      </c>
      <c r="B13" s="51">
        <v>1150000</v>
      </c>
      <c r="C13" s="50" t="s">
        <v>53</v>
      </c>
      <c r="D13" s="50" t="s">
        <v>65</v>
      </c>
    </row>
    <row r="14" spans="1:4">
      <c r="A14" s="50">
        <v>13</v>
      </c>
      <c r="B14" s="51">
        <v>1200000</v>
      </c>
      <c r="C14" s="50" t="s">
        <v>53</v>
      </c>
      <c r="D14" s="50" t="s">
        <v>66</v>
      </c>
    </row>
    <row r="15" spans="1:4">
      <c r="A15" s="50">
        <v>14</v>
      </c>
      <c r="B15" s="51">
        <v>1230000</v>
      </c>
      <c r="C15" s="50" t="s">
        <v>53</v>
      </c>
      <c r="D15" s="50" t="s">
        <v>67</v>
      </c>
    </row>
    <row r="16" spans="1:4">
      <c r="A16" s="50">
        <v>15</v>
      </c>
      <c r="B16" s="49">
        <v>551000</v>
      </c>
      <c r="C16" s="50" t="s">
        <v>53</v>
      </c>
      <c r="D16" s="50" t="s">
        <v>68</v>
      </c>
    </row>
    <row r="17" spans="1:4">
      <c r="A17" s="50">
        <v>16</v>
      </c>
      <c r="B17" s="49">
        <v>1619000</v>
      </c>
      <c r="C17" s="50" t="s">
        <v>53</v>
      </c>
      <c r="D17" s="50" t="s">
        <v>69</v>
      </c>
    </row>
    <row r="18" spans="1:4">
      <c r="A18" s="50">
        <v>17</v>
      </c>
      <c r="B18" s="49">
        <v>1620000</v>
      </c>
      <c r="C18" s="50" t="s">
        <v>53</v>
      </c>
      <c r="D18" s="50" t="s">
        <v>70</v>
      </c>
    </row>
    <row r="19" spans="1:4">
      <c r="A19" s="50">
        <v>18</v>
      </c>
      <c r="B19" s="49">
        <v>1622000</v>
      </c>
      <c r="C19" s="50" t="s">
        <v>53</v>
      </c>
      <c r="D19" s="50" t="s">
        <v>71</v>
      </c>
    </row>
    <row r="20" spans="1:4">
      <c r="A20" s="50">
        <v>19</v>
      </c>
      <c r="B20" s="49">
        <v>1624000</v>
      </c>
      <c r="C20" s="50" t="s">
        <v>53</v>
      </c>
      <c r="D20" s="50" t="s">
        <v>72</v>
      </c>
    </row>
    <row r="21" spans="1:4">
      <c r="A21" s="50">
        <v>20</v>
      </c>
      <c r="B21" s="49">
        <v>1628000</v>
      </c>
      <c r="C21" s="50" t="s">
        <v>53</v>
      </c>
      <c r="D21" s="50" t="s">
        <v>73</v>
      </c>
    </row>
    <row r="22" spans="1:4">
      <c r="A22" s="50">
        <v>21</v>
      </c>
      <c r="B22" s="49">
        <v>1800000</v>
      </c>
      <c r="C22" s="50" t="s">
        <v>53</v>
      </c>
      <c r="D22" s="50" t="s">
        <v>74</v>
      </c>
    </row>
    <row r="23" spans="1:4">
      <c r="A23" s="50">
        <v>22</v>
      </c>
      <c r="B23" s="49">
        <v>3600000</v>
      </c>
      <c r="C23" s="50" t="s">
        <v>53</v>
      </c>
      <c r="D23" s="50" t="s">
        <v>75</v>
      </c>
    </row>
    <row r="24" spans="1:4">
      <c r="A24" s="50">
        <v>23</v>
      </c>
      <c r="B24" s="49">
        <v>6600000</v>
      </c>
      <c r="C24" s="50" t="s">
        <v>53</v>
      </c>
      <c r="D24" s="50" t="s">
        <v>76</v>
      </c>
    </row>
    <row r="25" spans="1:4">
      <c r="A25" s="50">
        <v>24</v>
      </c>
      <c r="B25" s="49">
        <v>10000000</v>
      </c>
      <c r="C25" s="50" t="s">
        <v>53</v>
      </c>
      <c r="D25" s="50" t="s">
        <v>77</v>
      </c>
    </row>
    <row r="26" spans="1:4">
      <c r="A26" s="50">
        <v>25</v>
      </c>
      <c r="B26" s="49">
        <v>63000</v>
      </c>
      <c r="C26" s="50" t="s">
        <v>53</v>
      </c>
      <c r="D26" s="54" t="s">
        <v>171</v>
      </c>
    </row>
    <row r="27" spans="1:4">
      <c r="A27" s="50">
        <v>26</v>
      </c>
      <c r="B27" s="49">
        <v>73000</v>
      </c>
      <c r="C27" s="50" t="s">
        <v>53</v>
      </c>
      <c r="D27" s="54" t="s">
        <v>172</v>
      </c>
    </row>
    <row r="28" spans="1:4">
      <c r="A28" s="50">
        <v>27</v>
      </c>
      <c r="B28" s="49">
        <v>83000</v>
      </c>
      <c r="C28" s="50" t="s">
        <v>53</v>
      </c>
      <c r="D28" s="54" t="s">
        <v>173</v>
      </c>
    </row>
    <row r="29" spans="1:4">
      <c r="A29" s="50">
        <v>28</v>
      </c>
      <c r="B29" s="49">
        <v>93000</v>
      </c>
      <c r="C29" s="50" t="s">
        <v>53</v>
      </c>
      <c r="D29" s="54" t="s">
        <v>174</v>
      </c>
    </row>
    <row r="30" spans="1:4">
      <c r="A30" s="50">
        <v>29</v>
      </c>
      <c r="B30" s="49">
        <v>101000</v>
      </c>
      <c r="C30" s="50" t="s">
        <v>53</v>
      </c>
      <c r="D30" s="54" t="s">
        <v>175</v>
      </c>
    </row>
    <row r="31" spans="1:4">
      <c r="A31" s="50">
        <v>30</v>
      </c>
      <c r="B31" s="49">
        <v>107000</v>
      </c>
      <c r="C31" s="50" t="s">
        <v>53</v>
      </c>
      <c r="D31" s="54" t="s">
        <v>176</v>
      </c>
    </row>
    <row r="32" spans="1:4">
      <c r="A32" s="50">
        <v>31</v>
      </c>
      <c r="B32" s="49">
        <v>114000</v>
      </c>
      <c r="C32" s="50" t="s">
        <v>53</v>
      </c>
      <c r="D32" s="54" t="s">
        <v>177</v>
      </c>
    </row>
    <row r="33" spans="1:4">
      <c r="A33" s="50">
        <v>32</v>
      </c>
      <c r="B33" s="49">
        <v>122000</v>
      </c>
      <c r="C33" s="50" t="s">
        <v>53</v>
      </c>
      <c r="D33" s="54" t="s">
        <v>178</v>
      </c>
    </row>
    <row r="34" spans="1:4">
      <c r="A34" s="50">
        <v>33</v>
      </c>
      <c r="B34" s="49">
        <v>130000</v>
      </c>
      <c r="C34" s="50" t="s">
        <v>53</v>
      </c>
      <c r="D34" s="54" t="s">
        <v>179</v>
      </c>
    </row>
    <row r="35" spans="1:4">
      <c r="A35" s="50">
        <v>34</v>
      </c>
      <c r="B35" s="49">
        <v>138000</v>
      </c>
      <c r="C35" s="50" t="s">
        <v>53</v>
      </c>
      <c r="D35" s="54" t="s">
        <v>180</v>
      </c>
    </row>
    <row r="36" spans="1:4">
      <c r="A36" s="50">
        <v>35</v>
      </c>
      <c r="B36" s="49">
        <v>146000</v>
      </c>
      <c r="C36" s="50" t="s">
        <v>53</v>
      </c>
      <c r="D36" s="54" t="s">
        <v>181</v>
      </c>
    </row>
    <row r="37" spans="1:4">
      <c r="A37" s="50">
        <v>36</v>
      </c>
      <c r="B37" s="49">
        <v>155000</v>
      </c>
      <c r="C37" s="50" t="s">
        <v>53</v>
      </c>
      <c r="D37" s="54" t="s">
        <v>182</v>
      </c>
    </row>
    <row r="38" spans="1:4">
      <c r="A38" s="50">
        <v>37</v>
      </c>
      <c r="B38" s="49">
        <v>165000</v>
      </c>
      <c r="C38" s="50" t="s">
        <v>53</v>
      </c>
      <c r="D38" s="54" t="s">
        <v>183</v>
      </c>
    </row>
    <row r="39" spans="1:4">
      <c r="A39" s="50">
        <v>38</v>
      </c>
      <c r="B39" s="49">
        <v>175000</v>
      </c>
      <c r="C39" s="50" t="s">
        <v>53</v>
      </c>
      <c r="D39" s="54" t="s">
        <v>184</v>
      </c>
    </row>
    <row r="40" spans="1:4">
      <c r="A40" s="50">
        <v>39</v>
      </c>
      <c r="B40" s="49">
        <v>185000</v>
      </c>
      <c r="C40" s="50" t="s">
        <v>53</v>
      </c>
      <c r="D40" s="54" t="s">
        <v>185</v>
      </c>
    </row>
    <row r="41" spans="1:4">
      <c r="A41" s="50">
        <v>40</v>
      </c>
      <c r="B41" s="49">
        <v>195000</v>
      </c>
      <c r="C41" s="50" t="s">
        <v>53</v>
      </c>
      <c r="D41" s="54" t="s">
        <v>186</v>
      </c>
    </row>
    <row r="42" spans="1:4">
      <c r="A42" s="50">
        <v>41</v>
      </c>
      <c r="B42" s="49">
        <v>210000</v>
      </c>
      <c r="C42" s="50" t="s">
        <v>53</v>
      </c>
      <c r="D42" s="54" t="s">
        <v>187</v>
      </c>
    </row>
    <row r="43" spans="1:4">
      <c r="A43" s="50">
        <v>42</v>
      </c>
      <c r="B43" s="49">
        <v>230000</v>
      </c>
      <c r="C43" s="50" t="s">
        <v>53</v>
      </c>
      <c r="D43" s="54" t="s">
        <v>188</v>
      </c>
    </row>
    <row r="44" spans="1:4">
      <c r="A44" s="50">
        <v>43</v>
      </c>
      <c r="B44" s="49">
        <v>250000</v>
      </c>
      <c r="C44" s="50" t="s">
        <v>53</v>
      </c>
      <c r="D44" s="54" t="s">
        <v>189</v>
      </c>
    </row>
    <row r="45" spans="1:4">
      <c r="A45" s="50">
        <v>44</v>
      </c>
      <c r="B45" s="49">
        <v>270000</v>
      </c>
      <c r="C45" s="50" t="s">
        <v>53</v>
      </c>
      <c r="D45" s="54" t="s">
        <v>190</v>
      </c>
    </row>
    <row r="46" spans="1:4">
      <c r="A46" s="50">
        <v>45</v>
      </c>
      <c r="B46" s="49">
        <v>290000</v>
      </c>
      <c r="C46" s="50" t="s">
        <v>53</v>
      </c>
      <c r="D46" s="54" t="s">
        <v>191</v>
      </c>
    </row>
    <row r="47" spans="1:4">
      <c r="A47" s="50">
        <v>46</v>
      </c>
      <c r="B47" s="49">
        <v>310000</v>
      </c>
      <c r="C47" s="50" t="s">
        <v>53</v>
      </c>
      <c r="D47" s="54" t="s">
        <v>192</v>
      </c>
    </row>
    <row r="48" spans="1:4">
      <c r="A48" s="50">
        <v>47</v>
      </c>
      <c r="B48" s="49">
        <v>330000</v>
      </c>
      <c r="C48" s="50" t="s">
        <v>53</v>
      </c>
      <c r="D48" s="54" t="s">
        <v>193</v>
      </c>
    </row>
    <row r="49" spans="1:4">
      <c r="A49" s="50">
        <v>48</v>
      </c>
      <c r="B49" s="49">
        <v>350000</v>
      </c>
      <c r="C49" s="50" t="s">
        <v>53</v>
      </c>
      <c r="D49" s="54" t="s">
        <v>194</v>
      </c>
    </row>
    <row r="50" spans="1:4">
      <c r="A50" s="50">
        <v>49</v>
      </c>
      <c r="B50" s="49">
        <v>370000</v>
      </c>
      <c r="C50" s="50" t="s">
        <v>53</v>
      </c>
      <c r="D50" s="54" t="s">
        <v>195</v>
      </c>
    </row>
    <row r="51" spans="1:4">
      <c r="A51" s="50">
        <v>50</v>
      </c>
      <c r="B51" s="49">
        <v>395000</v>
      </c>
      <c r="C51" s="50" t="s">
        <v>53</v>
      </c>
      <c r="D51" s="54" t="s">
        <v>196</v>
      </c>
    </row>
    <row r="52" spans="1:4">
      <c r="A52" s="50">
        <v>51</v>
      </c>
      <c r="B52" s="49">
        <v>425000</v>
      </c>
      <c r="C52" s="50" t="s">
        <v>53</v>
      </c>
      <c r="D52" s="54" t="s">
        <v>197</v>
      </c>
    </row>
    <row r="53" spans="1:4">
      <c r="A53" s="50">
        <v>52</v>
      </c>
      <c r="B53" s="49">
        <v>455000</v>
      </c>
      <c r="C53" s="50" t="s">
        <v>53</v>
      </c>
      <c r="D53" s="54" t="s">
        <v>198</v>
      </c>
    </row>
    <row r="54" spans="1:4">
      <c r="A54" s="50">
        <v>53</v>
      </c>
      <c r="B54" s="49">
        <v>485000</v>
      </c>
      <c r="C54" s="50" t="s">
        <v>53</v>
      </c>
      <c r="D54" s="54" t="s">
        <v>199</v>
      </c>
    </row>
    <row r="55" spans="1:4">
      <c r="A55" s="50">
        <v>54</v>
      </c>
      <c r="B55" s="49">
        <v>515000</v>
      </c>
      <c r="C55" s="50" t="s">
        <v>53</v>
      </c>
      <c r="D55" s="54" t="s">
        <v>200</v>
      </c>
    </row>
    <row r="56" spans="1:4">
      <c r="A56" s="50">
        <v>55</v>
      </c>
      <c r="B56" s="49">
        <v>545000</v>
      </c>
      <c r="C56" s="50" t="s">
        <v>53</v>
      </c>
      <c r="D56" s="54" t="s">
        <v>201</v>
      </c>
    </row>
    <row r="57" spans="1:4">
      <c r="A57" s="50">
        <v>56</v>
      </c>
      <c r="B57" s="49">
        <v>575000</v>
      </c>
      <c r="C57" s="50" t="s">
        <v>53</v>
      </c>
      <c r="D57" s="54" t="s">
        <v>202</v>
      </c>
    </row>
    <row r="58" spans="1:4">
      <c r="A58" s="50">
        <v>57</v>
      </c>
      <c r="B58" s="49">
        <v>605000</v>
      </c>
      <c r="C58" s="50" t="s">
        <v>53</v>
      </c>
      <c r="D58" s="54" t="s">
        <v>203</v>
      </c>
    </row>
    <row r="59" spans="1:4">
      <c r="A59" s="50">
        <v>58</v>
      </c>
      <c r="B59" s="49">
        <v>635000</v>
      </c>
      <c r="C59" s="50" t="s">
        <v>53</v>
      </c>
      <c r="D59" s="54" t="s">
        <v>204</v>
      </c>
    </row>
    <row r="60" spans="1:4">
      <c r="A60" s="50">
        <v>59</v>
      </c>
      <c r="B60" s="49">
        <v>665000</v>
      </c>
      <c r="C60" s="50" t="s">
        <v>53</v>
      </c>
      <c r="D60" s="54" t="s">
        <v>205</v>
      </c>
    </row>
    <row r="61" spans="1:4">
      <c r="A61" s="50">
        <v>60</v>
      </c>
      <c r="B61" s="49">
        <v>695000</v>
      </c>
      <c r="C61" s="50" t="s">
        <v>53</v>
      </c>
      <c r="D61" s="54" t="s">
        <v>206</v>
      </c>
    </row>
    <row r="62" spans="1:4">
      <c r="A62" s="50">
        <v>61</v>
      </c>
      <c r="B62" s="49">
        <v>730000</v>
      </c>
      <c r="C62" s="50" t="s">
        <v>53</v>
      </c>
      <c r="D62" s="54" t="s">
        <v>207</v>
      </c>
    </row>
    <row r="63" spans="1:4">
      <c r="A63" s="50">
        <v>62</v>
      </c>
      <c r="B63" s="49">
        <v>770000</v>
      </c>
      <c r="C63" s="50" t="s">
        <v>53</v>
      </c>
      <c r="D63" s="54" t="s">
        <v>208</v>
      </c>
    </row>
    <row r="64" spans="1:4">
      <c r="A64" s="50">
        <v>63</v>
      </c>
      <c r="B64" s="49">
        <v>810000</v>
      </c>
      <c r="C64" s="50" t="s">
        <v>53</v>
      </c>
      <c r="D64" s="54" t="s">
        <v>209</v>
      </c>
    </row>
    <row r="65" spans="1:4">
      <c r="A65" s="50">
        <v>64</v>
      </c>
      <c r="B65" s="49">
        <v>855000</v>
      </c>
      <c r="C65" s="50" t="s">
        <v>53</v>
      </c>
      <c r="D65" s="54" t="s">
        <v>210</v>
      </c>
    </row>
    <row r="66" spans="1:4">
      <c r="A66" s="50">
        <v>65</v>
      </c>
      <c r="B66" s="49">
        <v>905000</v>
      </c>
      <c r="C66" s="50" t="s">
        <v>53</v>
      </c>
      <c r="D66" s="54" t="s">
        <v>211</v>
      </c>
    </row>
    <row r="67" spans="1:4">
      <c r="A67" s="50">
        <v>66</v>
      </c>
      <c r="B67" s="49">
        <v>955000</v>
      </c>
      <c r="C67" s="50" t="s">
        <v>53</v>
      </c>
      <c r="D67" s="54" t="s">
        <v>212</v>
      </c>
    </row>
    <row r="68" spans="1:4">
      <c r="A68" s="50">
        <v>67</v>
      </c>
      <c r="B68" s="49">
        <v>1005000</v>
      </c>
      <c r="C68" s="50" t="s">
        <v>53</v>
      </c>
      <c r="D68" s="54" t="s">
        <v>213</v>
      </c>
    </row>
    <row r="69" spans="1:4">
      <c r="A69" s="50">
        <v>68</v>
      </c>
      <c r="B69" s="49">
        <v>1055000</v>
      </c>
      <c r="C69" s="50" t="s">
        <v>53</v>
      </c>
      <c r="D69" s="54" t="s">
        <v>214</v>
      </c>
    </row>
    <row r="70" spans="1:4">
      <c r="A70" s="50">
        <v>69</v>
      </c>
      <c r="B70" s="49">
        <v>1115000</v>
      </c>
      <c r="C70" s="50" t="s">
        <v>53</v>
      </c>
      <c r="D70" s="54" t="s">
        <v>215</v>
      </c>
    </row>
    <row r="71" spans="1:4">
      <c r="A71" s="50">
        <v>70</v>
      </c>
      <c r="B71" s="49">
        <v>1175000</v>
      </c>
      <c r="C71" s="50" t="s">
        <v>53</v>
      </c>
      <c r="D71" s="54" t="s">
        <v>216</v>
      </c>
    </row>
    <row r="72" spans="1:4">
      <c r="A72" s="50">
        <v>71</v>
      </c>
      <c r="B72" s="49">
        <v>1235000</v>
      </c>
      <c r="C72" s="50" t="s">
        <v>53</v>
      </c>
      <c r="D72" s="54" t="s">
        <v>217</v>
      </c>
    </row>
    <row r="73" spans="1:4">
      <c r="A73" s="54">
        <v>72</v>
      </c>
      <c r="B73" s="374">
        <v>1295000</v>
      </c>
      <c r="C73" s="54" t="s">
        <v>53</v>
      </c>
      <c r="D73" s="54" t="s">
        <v>218</v>
      </c>
    </row>
    <row r="74" spans="1:4">
      <c r="A74" s="54">
        <v>73</v>
      </c>
      <c r="B74" s="374">
        <v>1355000</v>
      </c>
      <c r="C74" s="54" t="s">
        <v>53</v>
      </c>
      <c r="D74" s="54" t="s">
        <v>219</v>
      </c>
    </row>
    <row r="75" spans="1:4">
      <c r="A75" s="54">
        <v>74</v>
      </c>
      <c r="B75" s="54">
        <v>24000000</v>
      </c>
      <c r="C75" s="54" t="s">
        <v>53</v>
      </c>
      <c r="D75" s="54" t="s">
        <v>597</v>
      </c>
    </row>
    <row r="76" spans="1:4">
      <c r="A76" s="54">
        <v>75</v>
      </c>
      <c r="B76" s="54">
        <v>24500000</v>
      </c>
      <c r="C76" s="54" t="s">
        <v>53</v>
      </c>
      <c r="D76" s="54" t="s">
        <v>598</v>
      </c>
    </row>
    <row r="77" spans="1:4">
      <c r="A77" s="54">
        <v>76</v>
      </c>
      <c r="B77" s="54">
        <v>25000000</v>
      </c>
      <c r="C77" s="54" t="s">
        <v>53</v>
      </c>
      <c r="D77" s="54" t="s">
        <v>599</v>
      </c>
    </row>
    <row r="78" spans="1:4">
      <c r="A78" s="54">
        <v>77</v>
      </c>
      <c r="B78" s="377">
        <v>10000000</v>
      </c>
      <c r="C78" s="54" t="s">
        <v>53</v>
      </c>
      <c r="D78" s="54" t="s">
        <v>600</v>
      </c>
    </row>
    <row r="79" spans="1:4">
      <c r="A79" s="54">
        <v>78</v>
      </c>
      <c r="B79" s="377">
        <v>100000</v>
      </c>
      <c r="C79" s="54" t="s">
        <v>53</v>
      </c>
      <c r="D79" s="54"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dc:title>
  <dc:creator>JASSO</dc:creator>
  <cp:lastPrinted>2025-03-24T07:40:18Z</cp:lastPrinted>
  <dcterms:created xsi:type="dcterms:W3CDTF">2006-09-16T00:00:00Z</dcterms:created>
  <dcterms:modified xsi:type="dcterms:W3CDTF">2025-09-01T10:45:28Z</dcterms:modified>
</cp:coreProperties>
</file>